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Obálka" sheetId="2" r:id="rId1"/>
    <sheet name="Model multiplikace" sheetId="1" r:id="rId2"/>
    <sheet name="Sekuritizace" sheetId="4" r:id="rId3"/>
    <sheet name="Modelový příklad" sheetId="3" r:id="rId4"/>
  </sheets>
  <definedNames>
    <definedName name="Change_Type" localSheetId="0">#REF!</definedName>
    <definedName name="Change_Type">#REF!</definedName>
    <definedName name="_xlnm.Print_Area" localSheetId="0">Obálka!$A$1:$J$28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4" l="1"/>
  <c r="A102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F97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E93" i="4"/>
  <c r="E95" i="4" s="1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AG51" i="4"/>
  <c r="AG30" i="4" s="1"/>
  <c r="AG42" i="4"/>
  <c r="M37" i="4"/>
  <c r="L37" i="4"/>
  <c r="K37" i="4"/>
  <c r="J37" i="4"/>
  <c r="I37" i="4"/>
  <c r="H37" i="4"/>
  <c r="G37" i="4"/>
  <c r="F37" i="4"/>
  <c r="B17" i="4"/>
  <c r="B16" i="4"/>
  <c r="B10" i="4"/>
  <c r="B12" i="4" s="1"/>
  <c r="B2" i="4" s="1"/>
  <c r="B9" i="4"/>
  <c r="B7" i="4"/>
  <c r="B5" i="4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F29" i="3"/>
  <c r="F28" i="3"/>
  <c r="C19" i="3"/>
  <c r="C26" i="3" s="1"/>
  <c r="C18" i="3"/>
  <c r="C25" i="3" s="1"/>
  <c r="C17" i="3"/>
  <c r="C23" i="3" s="1"/>
  <c r="C16" i="3"/>
  <c r="B8" i="4" l="1"/>
  <c r="B3" i="4"/>
  <c r="E35" i="4"/>
  <c r="B20" i="4"/>
  <c r="E31" i="4" s="1"/>
  <c r="N88" i="4"/>
  <c r="F93" i="4"/>
  <c r="E102" i="4"/>
  <c r="F19" i="3"/>
  <c r="F26" i="3" s="1"/>
  <c r="J19" i="3"/>
  <c r="J26" i="3" s="1"/>
  <c r="N19" i="3"/>
  <c r="N26" i="3" s="1"/>
  <c r="R19" i="3"/>
  <c r="R26" i="3" s="1"/>
  <c r="D19" i="3"/>
  <c r="H17" i="3"/>
  <c r="H23" i="3" s="1"/>
  <c r="L17" i="3"/>
  <c r="L23" i="3" s="1"/>
  <c r="E19" i="3"/>
  <c r="E26" i="3" s="1"/>
  <c r="I19" i="3"/>
  <c r="I26" i="3" s="1"/>
  <c r="M19" i="3"/>
  <c r="M26" i="3" s="1"/>
  <c r="Q19" i="3"/>
  <c r="Q26" i="3" s="1"/>
  <c r="G19" i="3"/>
  <c r="G26" i="3" s="1"/>
  <c r="K19" i="3"/>
  <c r="K26" i="3" s="1"/>
  <c r="E34" i="3" s="1"/>
  <c r="O19" i="3"/>
  <c r="O26" i="3" s="1"/>
  <c r="P18" i="3"/>
  <c r="P22" i="3" s="1"/>
  <c r="D26" i="3"/>
  <c r="E33" i="3"/>
  <c r="D16" i="3"/>
  <c r="D24" i="3" s="1"/>
  <c r="H18" i="3"/>
  <c r="I16" i="3"/>
  <c r="I24" i="3" s="1"/>
  <c r="M16" i="3"/>
  <c r="M24" i="3" s="1"/>
  <c r="I17" i="3"/>
  <c r="I23" i="3" s="1"/>
  <c r="M17" i="3"/>
  <c r="M23" i="3" s="1"/>
  <c r="Q17" i="3"/>
  <c r="Q23" i="3" s="1"/>
  <c r="I18" i="3"/>
  <c r="H16" i="3"/>
  <c r="H24" i="3" s="1"/>
  <c r="D18" i="3"/>
  <c r="C33" i="3" s="1"/>
  <c r="F33" i="3" s="1"/>
  <c r="L19" i="3"/>
  <c r="L26" i="3" s="1"/>
  <c r="F16" i="3"/>
  <c r="F24" i="3" s="1"/>
  <c r="F17" i="3"/>
  <c r="F23" i="3" s="1"/>
  <c r="F18" i="3"/>
  <c r="J18" i="3"/>
  <c r="C22" i="3"/>
  <c r="C24" i="3"/>
  <c r="L16" i="3"/>
  <c r="L24" i="3" s="1"/>
  <c r="D17" i="3"/>
  <c r="D23" i="3" s="1"/>
  <c r="K16" i="3"/>
  <c r="K24" i="3" s="1"/>
  <c r="O16" i="3"/>
  <c r="O24" i="3" s="1"/>
  <c r="K17" i="3"/>
  <c r="K23" i="3" s="1"/>
  <c r="K18" i="3"/>
  <c r="O18" i="3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E98" i="1"/>
  <c r="E101" i="1"/>
  <c r="A99" i="1"/>
  <c r="F94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E90" i="1"/>
  <c r="E92" i="1" s="1"/>
  <c r="AG48" i="1"/>
  <c r="AG27" i="1" s="1"/>
  <c r="AG39" i="1"/>
  <c r="F88" i="4" l="1"/>
  <c r="F89" i="4" s="1"/>
  <c r="F94" i="4"/>
  <c r="F61" i="4"/>
  <c r="F60" i="4" s="1"/>
  <c r="Y43" i="4"/>
  <c r="U43" i="4"/>
  <c r="Q43" i="4"/>
  <c r="M43" i="4"/>
  <c r="I43" i="4"/>
  <c r="W43" i="4"/>
  <c r="S43" i="4"/>
  <c r="O43" i="4"/>
  <c r="K43" i="4"/>
  <c r="G43" i="4"/>
  <c r="X43" i="4"/>
  <c r="P43" i="4"/>
  <c r="H43" i="4"/>
  <c r="R43" i="4"/>
  <c r="V43" i="4"/>
  <c r="N43" i="4"/>
  <c r="F43" i="4"/>
  <c r="F42" i="4" s="1"/>
  <c r="F38" i="4"/>
  <c r="J43" i="4"/>
  <c r="T43" i="4"/>
  <c r="L43" i="4"/>
  <c r="F35" i="4"/>
  <c r="E34" i="4"/>
  <c r="E87" i="4" s="1"/>
  <c r="F95" i="4"/>
  <c r="P25" i="3"/>
  <c r="F34" i="3" s="1"/>
  <c r="G16" i="3"/>
  <c r="G24" i="3" s="1"/>
  <c r="S19" i="3"/>
  <c r="N16" i="3"/>
  <c r="N24" i="3" s="1"/>
  <c r="Q18" i="3"/>
  <c r="Q25" i="3" s="1"/>
  <c r="O17" i="3"/>
  <c r="O23" i="3" s="1"/>
  <c r="N17" i="3"/>
  <c r="N23" i="3" s="1"/>
  <c r="J16" i="3"/>
  <c r="J24" i="3" s="1"/>
  <c r="D34" i="3" s="1"/>
  <c r="M18" i="3"/>
  <c r="M25" i="3" s="1"/>
  <c r="P19" i="3"/>
  <c r="P26" i="3" s="1"/>
  <c r="L18" i="3"/>
  <c r="P17" i="3"/>
  <c r="P23" i="3" s="1"/>
  <c r="N18" i="3"/>
  <c r="N25" i="3" s="1"/>
  <c r="J17" i="3"/>
  <c r="J23" i="3" s="1"/>
  <c r="P16" i="3"/>
  <c r="P24" i="3" s="1"/>
  <c r="Q16" i="3"/>
  <c r="Q24" i="3" s="1"/>
  <c r="H19" i="3"/>
  <c r="H26" i="3" s="1"/>
  <c r="G17" i="3"/>
  <c r="G23" i="3" s="1"/>
  <c r="R18" i="3"/>
  <c r="R25" i="3" s="1"/>
  <c r="R17" i="3"/>
  <c r="S17" i="3" s="1"/>
  <c r="R16" i="3"/>
  <c r="R24" i="3" s="1"/>
  <c r="E18" i="3"/>
  <c r="E22" i="3" s="1"/>
  <c r="E17" i="3"/>
  <c r="E23" i="3" s="1"/>
  <c r="E16" i="3"/>
  <c r="E24" i="3" s="1"/>
  <c r="G18" i="3"/>
  <c r="G22" i="3" s="1"/>
  <c r="S18" i="3"/>
  <c r="R22" i="3"/>
  <c r="C34" i="3" s="1"/>
  <c r="R23" i="3"/>
  <c r="Q22" i="3"/>
  <c r="L22" i="3"/>
  <c r="L25" i="3"/>
  <c r="F25" i="3"/>
  <c r="F22" i="3"/>
  <c r="E25" i="3"/>
  <c r="O25" i="3"/>
  <c r="O22" i="3"/>
  <c r="K25" i="3"/>
  <c r="K22" i="3"/>
  <c r="J25" i="3"/>
  <c r="J22" i="3"/>
  <c r="D22" i="3"/>
  <c r="D25" i="3"/>
  <c r="I25" i="3"/>
  <c r="I22" i="3"/>
  <c r="H22" i="3"/>
  <c r="H25" i="3"/>
  <c r="S26" i="3"/>
  <c r="T19" i="3"/>
  <c r="D33" i="3"/>
  <c r="F90" i="1"/>
  <c r="E99" i="1"/>
  <c r="B16" i="1"/>
  <c r="B9" i="1"/>
  <c r="B10" i="1"/>
  <c r="B7" i="1"/>
  <c r="F52" i="4" l="1"/>
  <c r="F51" i="4" s="1"/>
  <c r="F30" i="4" s="1"/>
  <c r="F86" i="4" s="1"/>
  <c r="F31" i="4"/>
  <c r="G35" i="4" s="1"/>
  <c r="F99" i="4"/>
  <c r="G93" i="4"/>
  <c r="F102" i="4"/>
  <c r="F70" i="4"/>
  <c r="F71" i="4" s="1"/>
  <c r="F72" i="4" s="1"/>
  <c r="M22" i="3"/>
  <c r="N22" i="3"/>
  <c r="S16" i="3"/>
  <c r="S24" i="3" s="1"/>
  <c r="G25" i="3"/>
  <c r="S23" i="3"/>
  <c r="T17" i="3"/>
  <c r="S22" i="3"/>
  <c r="S25" i="3"/>
  <c r="T18" i="3"/>
  <c r="T26" i="3"/>
  <c r="U19" i="3"/>
  <c r="F34" i="1"/>
  <c r="G52" i="4" l="1"/>
  <c r="H61" i="4" s="1"/>
  <c r="G61" i="4"/>
  <c r="F34" i="4"/>
  <c r="F87" i="4" s="1"/>
  <c r="G94" i="4"/>
  <c r="G95" i="4" s="1"/>
  <c r="G88" i="4"/>
  <c r="G89" i="4" s="1"/>
  <c r="G62" i="4"/>
  <c r="G60" i="4" s="1"/>
  <c r="Z44" i="4"/>
  <c r="V44" i="4"/>
  <c r="R44" i="4"/>
  <c r="N44" i="4"/>
  <c r="J44" i="4"/>
  <c r="X44" i="4"/>
  <c r="T44" i="4"/>
  <c r="P44" i="4"/>
  <c r="L44" i="4"/>
  <c r="H44" i="4"/>
  <c r="U44" i="4"/>
  <c r="M44" i="4"/>
  <c r="G38" i="4"/>
  <c r="W44" i="4"/>
  <c r="S44" i="4"/>
  <c r="K44" i="4"/>
  <c r="Y44" i="4"/>
  <c r="Q44" i="4"/>
  <c r="I44" i="4"/>
  <c r="O44" i="4"/>
  <c r="G44" i="4"/>
  <c r="G42" i="4" s="1"/>
  <c r="H52" i="4"/>
  <c r="G97" i="4"/>
  <c r="F104" i="4"/>
  <c r="T16" i="3"/>
  <c r="T24" i="3" s="1"/>
  <c r="U16" i="3"/>
  <c r="T23" i="3"/>
  <c r="U17" i="3"/>
  <c r="U26" i="3"/>
  <c r="V19" i="3"/>
  <c r="T22" i="3"/>
  <c r="T25" i="3"/>
  <c r="U18" i="3"/>
  <c r="G34" i="1"/>
  <c r="H34" i="1"/>
  <c r="I34" i="1"/>
  <c r="J34" i="1"/>
  <c r="K34" i="1"/>
  <c r="L34" i="1"/>
  <c r="M34" i="1"/>
  <c r="G70" i="4" l="1"/>
  <c r="G71" i="4" s="1"/>
  <c r="G72" i="4" s="1"/>
  <c r="G102" i="4"/>
  <c r="H93" i="4"/>
  <c r="I52" i="4"/>
  <c r="I61" i="4"/>
  <c r="G31" i="4"/>
  <c r="G99" i="4"/>
  <c r="G53" i="4"/>
  <c r="V16" i="3"/>
  <c r="U24" i="3"/>
  <c r="U23" i="3"/>
  <c r="V17" i="3"/>
  <c r="U25" i="3"/>
  <c r="V18" i="3"/>
  <c r="U22" i="3"/>
  <c r="W19" i="3"/>
  <c r="V26" i="3"/>
  <c r="AA82" i="1"/>
  <c r="AB82" i="1"/>
  <c r="H62" i="4" l="1"/>
  <c r="H53" i="4"/>
  <c r="G51" i="4"/>
  <c r="G30" i="4" s="1"/>
  <c r="J61" i="4"/>
  <c r="J52" i="4"/>
  <c r="G104" i="4"/>
  <c r="H97" i="4"/>
  <c r="H88" i="4"/>
  <c r="H89" i="4" s="1"/>
  <c r="H94" i="4"/>
  <c r="H95" i="4" s="1"/>
  <c r="H63" i="4"/>
  <c r="AA45" i="4"/>
  <c r="W45" i="4"/>
  <c r="S45" i="4"/>
  <c r="O45" i="4"/>
  <c r="K45" i="4"/>
  <c r="Z45" i="4"/>
  <c r="V45" i="4"/>
  <c r="Y45" i="4"/>
  <c r="U45" i="4"/>
  <c r="Q45" i="4"/>
  <c r="M45" i="4"/>
  <c r="I45" i="4"/>
  <c r="R45" i="4"/>
  <c r="J45" i="4"/>
  <c r="T45" i="4"/>
  <c r="P45" i="4"/>
  <c r="H45" i="4"/>
  <c r="H42" i="4" s="1"/>
  <c r="H38" i="4"/>
  <c r="X45" i="4"/>
  <c r="N45" i="4"/>
  <c r="L45" i="4"/>
  <c r="B75" i="4"/>
  <c r="H35" i="4"/>
  <c r="V25" i="3"/>
  <c r="W18" i="3"/>
  <c r="C31" i="3" s="1"/>
  <c r="V22" i="3"/>
  <c r="X19" i="3"/>
  <c r="W26" i="3"/>
  <c r="E31" i="3"/>
  <c r="V23" i="3"/>
  <c r="W17" i="3"/>
  <c r="W16" i="3"/>
  <c r="V24" i="3"/>
  <c r="E32" i="3"/>
  <c r="B5" i="1"/>
  <c r="I93" i="4" l="1"/>
  <c r="H102" i="4"/>
  <c r="K61" i="4"/>
  <c r="K52" i="4"/>
  <c r="I53" i="4"/>
  <c r="I62" i="4"/>
  <c r="H60" i="4"/>
  <c r="H99" i="4" s="1"/>
  <c r="G86" i="4"/>
  <c r="G34" i="4"/>
  <c r="G87" i="4" s="1"/>
  <c r="H54" i="4"/>
  <c r="X17" i="3"/>
  <c r="W23" i="3"/>
  <c r="X26" i="3"/>
  <c r="Y19" i="3"/>
  <c r="W25" i="3"/>
  <c r="W22" i="3"/>
  <c r="X18" i="3"/>
  <c r="C32" i="3"/>
  <c r="F32" i="3"/>
  <c r="F31" i="3"/>
  <c r="W24" i="3"/>
  <c r="X16" i="3"/>
  <c r="D31" i="3"/>
  <c r="D32" i="3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F82" i="1"/>
  <c r="I97" i="4" l="1"/>
  <c r="H104" i="4"/>
  <c r="I63" i="4"/>
  <c r="I54" i="4"/>
  <c r="J62" i="4"/>
  <c r="J53" i="4"/>
  <c r="H70" i="4"/>
  <c r="H71" i="4" s="1"/>
  <c r="H72" i="4" s="1"/>
  <c r="H31" i="4"/>
  <c r="H51" i="4"/>
  <c r="H30" i="4" s="1"/>
  <c r="L61" i="4"/>
  <c r="L52" i="4"/>
  <c r="X22" i="3"/>
  <c r="X25" i="3"/>
  <c r="Y18" i="3"/>
  <c r="Z18" i="3" s="1"/>
  <c r="Z19" i="3"/>
  <c r="Y26" i="3"/>
  <c r="X24" i="3"/>
  <c r="Y16" i="3"/>
  <c r="Z16" i="3" s="1"/>
  <c r="X23" i="3"/>
  <c r="Y17" i="3"/>
  <c r="Z17" i="3" s="1"/>
  <c r="B12" i="1"/>
  <c r="B2" i="1" s="1"/>
  <c r="B17" i="1"/>
  <c r="I88" i="4" l="1"/>
  <c r="I89" i="4" s="1"/>
  <c r="I94" i="4"/>
  <c r="I95" i="4" s="1"/>
  <c r="I64" i="4"/>
  <c r="I60" i="4" s="1"/>
  <c r="AB46" i="4"/>
  <c r="X46" i="4"/>
  <c r="T46" i="4"/>
  <c r="P46" i="4"/>
  <c r="L46" i="4"/>
  <c r="AA46" i="4"/>
  <c r="W46" i="4"/>
  <c r="S46" i="4"/>
  <c r="O46" i="4"/>
  <c r="K46" i="4"/>
  <c r="Z46" i="4"/>
  <c r="V46" i="4"/>
  <c r="R46" i="4"/>
  <c r="N46" i="4"/>
  <c r="J46" i="4"/>
  <c r="M46" i="4"/>
  <c r="Y46" i="4"/>
  <c r="I46" i="4"/>
  <c r="I42" i="4" s="1"/>
  <c r="U46" i="4"/>
  <c r="I38" i="4"/>
  <c r="Q46" i="4"/>
  <c r="I35" i="4"/>
  <c r="K62" i="4"/>
  <c r="K53" i="4"/>
  <c r="H86" i="4"/>
  <c r="H34" i="4"/>
  <c r="H87" i="4" s="1"/>
  <c r="M52" i="4"/>
  <c r="M61" i="4"/>
  <c r="J63" i="4"/>
  <c r="J54" i="4"/>
  <c r="AA19" i="3"/>
  <c r="Z26" i="3"/>
  <c r="E32" i="1"/>
  <c r="B8" i="1"/>
  <c r="B20" i="1"/>
  <c r="N85" i="1"/>
  <c r="I70" i="4" l="1"/>
  <c r="I71" i="4" s="1"/>
  <c r="I72" i="4" s="1"/>
  <c r="I99" i="4"/>
  <c r="L62" i="4"/>
  <c r="L53" i="4"/>
  <c r="I31" i="4"/>
  <c r="J35" i="4" s="1"/>
  <c r="J93" i="4"/>
  <c r="I102" i="4"/>
  <c r="N61" i="4"/>
  <c r="N52" i="4"/>
  <c r="K63" i="4"/>
  <c r="K54" i="4"/>
  <c r="I55" i="4"/>
  <c r="AA26" i="3"/>
  <c r="AB19" i="3"/>
  <c r="E28" i="1"/>
  <c r="F91" i="1" s="1"/>
  <c r="F92" i="1" s="1"/>
  <c r="B3" i="1"/>
  <c r="J88" i="4" l="1"/>
  <c r="J89" i="4" s="1"/>
  <c r="J94" i="4"/>
  <c r="J65" i="4"/>
  <c r="AC47" i="4"/>
  <c r="Y47" i="4"/>
  <c r="U47" i="4"/>
  <c r="Q47" i="4"/>
  <c r="M47" i="4"/>
  <c r="AB47" i="4"/>
  <c r="X47" i="4"/>
  <c r="T47" i="4"/>
  <c r="P47" i="4"/>
  <c r="L47" i="4"/>
  <c r="AA47" i="4"/>
  <c r="W47" i="4"/>
  <c r="S47" i="4"/>
  <c r="O47" i="4"/>
  <c r="K47" i="4"/>
  <c r="Z47" i="4"/>
  <c r="J47" i="4"/>
  <c r="J42" i="4" s="1"/>
  <c r="V47" i="4"/>
  <c r="J38" i="4"/>
  <c r="N47" i="4"/>
  <c r="R47" i="4"/>
  <c r="J97" i="4"/>
  <c r="I104" i="4"/>
  <c r="J95" i="4"/>
  <c r="M62" i="4"/>
  <c r="M53" i="4"/>
  <c r="K35" i="4"/>
  <c r="J64" i="4"/>
  <c r="J55" i="4"/>
  <c r="I51" i="4"/>
  <c r="I30" i="4" s="1"/>
  <c r="O61" i="4"/>
  <c r="O52" i="4"/>
  <c r="L63" i="4"/>
  <c r="L54" i="4"/>
  <c r="AB26" i="3"/>
  <c r="AC19" i="3"/>
  <c r="F99" i="1"/>
  <c r="G90" i="1"/>
  <c r="F35" i="1"/>
  <c r="F58" i="1"/>
  <c r="F57" i="1" s="1"/>
  <c r="J40" i="1"/>
  <c r="N40" i="1"/>
  <c r="R40" i="1"/>
  <c r="V40" i="1"/>
  <c r="F40" i="1"/>
  <c r="F39" i="1" s="1"/>
  <c r="G40" i="1"/>
  <c r="K40" i="1"/>
  <c r="O40" i="1"/>
  <c r="S40" i="1"/>
  <c r="W40" i="1"/>
  <c r="M40" i="1"/>
  <c r="Y40" i="1"/>
  <c r="H40" i="1"/>
  <c r="L40" i="1"/>
  <c r="P40" i="1"/>
  <c r="T40" i="1"/>
  <c r="X40" i="1"/>
  <c r="I40" i="1"/>
  <c r="Q40" i="1"/>
  <c r="U40" i="1"/>
  <c r="E31" i="1"/>
  <c r="F32" i="1"/>
  <c r="F85" i="1"/>
  <c r="F86" i="1" s="1"/>
  <c r="I86" i="4" l="1"/>
  <c r="I34" i="4"/>
  <c r="I87" i="4" s="1"/>
  <c r="J56" i="4"/>
  <c r="J51" i="4" s="1"/>
  <c r="K55" i="4"/>
  <c r="K64" i="4"/>
  <c r="K93" i="4"/>
  <c r="J102" i="4"/>
  <c r="L35" i="4"/>
  <c r="P61" i="4"/>
  <c r="P52" i="4"/>
  <c r="J60" i="4"/>
  <c r="M63" i="4"/>
  <c r="M54" i="4"/>
  <c r="N62" i="4"/>
  <c r="N53" i="4"/>
  <c r="F96" i="1"/>
  <c r="F49" i="1"/>
  <c r="F48" i="1" s="1"/>
  <c r="F67" i="1"/>
  <c r="J30" i="4" l="1"/>
  <c r="J73" i="4"/>
  <c r="Q52" i="4"/>
  <c r="Q61" i="4"/>
  <c r="J86" i="4"/>
  <c r="J70" i="4"/>
  <c r="J71" i="4" s="1"/>
  <c r="J72" i="4" s="1"/>
  <c r="L64" i="4"/>
  <c r="L55" i="4"/>
  <c r="N63" i="4"/>
  <c r="N54" i="4"/>
  <c r="O62" i="4"/>
  <c r="O53" i="4"/>
  <c r="M35" i="4"/>
  <c r="K56" i="4"/>
  <c r="K65" i="4"/>
  <c r="F101" i="1"/>
  <c r="G94" i="1"/>
  <c r="F68" i="1"/>
  <c r="E84" i="1"/>
  <c r="J99" i="4" l="1"/>
  <c r="K73" i="4"/>
  <c r="L73" i="4" s="1"/>
  <c r="M73" i="4" s="1"/>
  <c r="N73" i="4" s="1"/>
  <c r="O73" i="4" s="1"/>
  <c r="P73" i="4" s="1"/>
  <c r="Q73" i="4" s="1"/>
  <c r="R73" i="4" s="1"/>
  <c r="S73" i="4" s="1"/>
  <c r="J31" i="4"/>
  <c r="N35" i="4"/>
  <c r="L65" i="4"/>
  <c r="L56" i="4"/>
  <c r="M64" i="4"/>
  <c r="M55" i="4"/>
  <c r="R61" i="4"/>
  <c r="R52" i="4"/>
  <c r="P62" i="4"/>
  <c r="P53" i="4"/>
  <c r="O54" i="4"/>
  <c r="O63" i="4"/>
  <c r="F69" i="1"/>
  <c r="F27" i="1"/>
  <c r="F28" i="1"/>
  <c r="J34" i="4" l="1"/>
  <c r="J87" i="4" s="1"/>
  <c r="L48" i="4"/>
  <c r="AD48" i="4"/>
  <c r="N48" i="4"/>
  <c r="U48" i="4"/>
  <c r="X48" i="4"/>
  <c r="W48" i="4"/>
  <c r="AA48" i="4"/>
  <c r="Z48" i="4"/>
  <c r="K66" i="4"/>
  <c r="K60" i="4" s="1"/>
  <c r="Q48" i="4"/>
  <c r="T48" i="4"/>
  <c r="K38" i="4"/>
  <c r="K48" i="4"/>
  <c r="K42" i="4" s="1"/>
  <c r="K94" i="4"/>
  <c r="V48" i="4"/>
  <c r="AC48" i="4"/>
  <c r="M48" i="4"/>
  <c r="P48" i="4"/>
  <c r="S48" i="4"/>
  <c r="K88" i="4"/>
  <c r="K89" i="4" s="1"/>
  <c r="R48" i="4"/>
  <c r="Y48" i="4"/>
  <c r="AB48" i="4"/>
  <c r="O48" i="4"/>
  <c r="K57" i="4"/>
  <c r="L57" i="4" s="1"/>
  <c r="K97" i="4"/>
  <c r="J104" i="4"/>
  <c r="M65" i="4"/>
  <c r="M56" i="4"/>
  <c r="O35" i="4"/>
  <c r="P63" i="4"/>
  <c r="P54" i="4"/>
  <c r="S61" i="4"/>
  <c r="S52" i="4"/>
  <c r="N64" i="4"/>
  <c r="N55" i="4"/>
  <c r="K70" i="4"/>
  <c r="K71" i="4" s="1"/>
  <c r="K72" i="4" s="1"/>
  <c r="L66" i="4"/>
  <c r="K51" i="4"/>
  <c r="K30" i="4" s="1"/>
  <c r="Q53" i="4"/>
  <c r="Q62" i="4"/>
  <c r="G59" i="1"/>
  <c r="G91" i="1"/>
  <c r="G92" i="1" s="1"/>
  <c r="I41" i="1"/>
  <c r="M41" i="1"/>
  <c r="Q41" i="1"/>
  <c r="U41" i="1"/>
  <c r="Y41" i="1"/>
  <c r="T41" i="1"/>
  <c r="J41" i="1"/>
  <c r="N41" i="1"/>
  <c r="R41" i="1"/>
  <c r="V41" i="1"/>
  <c r="Z41" i="1"/>
  <c r="L41" i="1"/>
  <c r="X41" i="1"/>
  <c r="K41" i="1"/>
  <c r="O41" i="1"/>
  <c r="S41" i="1"/>
  <c r="W41" i="1"/>
  <c r="G41" i="1"/>
  <c r="G39" i="1" s="1"/>
  <c r="H41" i="1"/>
  <c r="P41" i="1"/>
  <c r="F83" i="1"/>
  <c r="F31" i="1"/>
  <c r="G58" i="1"/>
  <c r="G57" i="1" s="1"/>
  <c r="G49" i="1"/>
  <c r="H49" i="1" s="1"/>
  <c r="K31" i="4" l="1"/>
  <c r="K98" i="4"/>
  <c r="K99" i="4" s="1"/>
  <c r="K95" i="4"/>
  <c r="M66" i="4"/>
  <c r="M57" i="4"/>
  <c r="T61" i="4"/>
  <c r="T52" i="4"/>
  <c r="N65" i="4"/>
  <c r="N56" i="4"/>
  <c r="O55" i="4"/>
  <c r="O64" i="4"/>
  <c r="P35" i="4"/>
  <c r="Q63" i="4"/>
  <c r="Q54" i="4"/>
  <c r="R62" i="4"/>
  <c r="R53" i="4"/>
  <c r="K86" i="4"/>
  <c r="G96" i="1"/>
  <c r="H90" i="1"/>
  <c r="G99" i="1"/>
  <c r="G35" i="1"/>
  <c r="G32" i="1"/>
  <c r="H58" i="1"/>
  <c r="I49" i="1"/>
  <c r="I58" i="1"/>
  <c r="K104" i="4" l="1"/>
  <c r="L97" i="4"/>
  <c r="L94" i="4"/>
  <c r="W49" i="4"/>
  <c r="Z49" i="4"/>
  <c r="AC49" i="4"/>
  <c r="M49" i="4"/>
  <c r="AB49" i="4"/>
  <c r="L88" i="4"/>
  <c r="L89" i="4" s="1"/>
  <c r="AA49" i="4"/>
  <c r="AD49" i="4"/>
  <c r="N49" i="4"/>
  <c r="Q49" i="4"/>
  <c r="P49" i="4"/>
  <c r="L67" i="4"/>
  <c r="L60" i="4" s="1"/>
  <c r="S49" i="4"/>
  <c r="V49" i="4"/>
  <c r="Y49" i="4"/>
  <c r="T49" i="4"/>
  <c r="L49" i="4"/>
  <c r="AE49" i="4"/>
  <c r="O49" i="4"/>
  <c r="R49" i="4"/>
  <c r="U49" i="4"/>
  <c r="L38" i="4"/>
  <c r="X49" i="4"/>
  <c r="K34" i="4"/>
  <c r="K87" i="4" s="1"/>
  <c r="L93" i="4"/>
  <c r="K102" i="4"/>
  <c r="P64" i="4"/>
  <c r="P55" i="4"/>
  <c r="N66" i="4"/>
  <c r="N57" i="4"/>
  <c r="R63" i="4"/>
  <c r="R54" i="4"/>
  <c r="U52" i="4"/>
  <c r="U61" i="4"/>
  <c r="S62" i="4"/>
  <c r="S53" i="4"/>
  <c r="Q35" i="4"/>
  <c r="O65" i="4"/>
  <c r="O56" i="4"/>
  <c r="G101" i="1"/>
  <c r="H94" i="1"/>
  <c r="J58" i="1"/>
  <c r="J49" i="1"/>
  <c r="L95" i="4" l="1"/>
  <c r="M93" i="4" s="1"/>
  <c r="L70" i="4"/>
  <c r="L71" i="4" s="1"/>
  <c r="L72" i="4" s="1"/>
  <c r="L98" i="4"/>
  <c r="L42" i="4"/>
  <c r="L31" i="4" s="1"/>
  <c r="L58" i="4"/>
  <c r="V61" i="4"/>
  <c r="V52" i="4"/>
  <c r="S54" i="4"/>
  <c r="S63" i="4"/>
  <c r="O66" i="4"/>
  <c r="O57" i="4"/>
  <c r="R35" i="4"/>
  <c r="T62" i="4"/>
  <c r="T53" i="4"/>
  <c r="P65" i="4"/>
  <c r="P56" i="4"/>
  <c r="Q64" i="4"/>
  <c r="Q55" i="4"/>
  <c r="K58" i="1"/>
  <c r="K49" i="1"/>
  <c r="L99" i="4" l="1"/>
  <c r="L104" i="4" s="1"/>
  <c r="L102" i="4"/>
  <c r="AF50" i="4"/>
  <c r="AF42" i="4" s="1"/>
  <c r="P50" i="4"/>
  <c r="P42" i="4" s="1"/>
  <c r="S50" i="4"/>
  <c r="S42" i="4" s="1"/>
  <c r="V50" i="4"/>
  <c r="V42" i="4" s="1"/>
  <c r="U50" i="4"/>
  <c r="U42" i="4" s="1"/>
  <c r="M38" i="4"/>
  <c r="B81" i="4" s="1"/>
  <c r="B83" i="4" s="1"/>
  <c r="M88" i="4"/>
  <c r="M89" i="4" s="1"/>
  <c r="N89" i="4" s="1"/>
  <c r="AB50" i="4"/>
  <c r="AB42" i="4" s="1"/>
  <c r="AE50" i="4"/>
  <c r="AE42" i="4" s="1"/>
  <c r="O50" i="4"/>
  <c r="O42" i="4" s="1"/>
  <c r="R50" i="4"/>
  <c r="R42" i="4" s="1"/>
  <c r="AC50" i="4"/>
  <c r="AC42" i="4" s="1"/>
  <c r="B76" i="4"/>
  <c r="B79" i="4" s="1"/>
  <c r="M94" i="4"/>
  <c r="M95" i="4" s="1"/>
  <c r="M102" i="4" s="1"/>
  <c r="X50" i="4"/>
  <c r="X42" i="4" s="1"/>
  <c r="AA50" i="4"/>
  <c r="AA42" i="4" s="1"/>
  <c r="AD50" i="4"/>
  <c r="AD42" i="4" s="1"/>
  <c r="N50" i="4"/>
  <c r="N42" i="4" s="1"/>
  <c r="M50" i="4"/>
  <c r="M42" i="4" s="1"/>
  <c r="M68" i="4"/>
  <c r="T50" i="4"/>
  <c r="T42" i="4" s="1"/>
  <c r="W50" i="4"/>
  <c r="W42" i="4" s="1"/>
  <c r="Z50" i="4"/>
  <c r="Z42" i="4" s="1"/>
  <c r="Q50" i="4"/>
  <c r="Q42" i="4" s="1"/>
  <c r="Y50" i="4"/>
  <c r="Y42" i="4" s="1"/>
  <c r="M97" i="4"/>
  <c r="M67" i="4"/>
  <c r="M58" i="4"/>
  <c r="L51" i="4"/>
  <c r="L30" i="4" s="1"/>
  <c r="Q65" i="4"/>
  <c r="Q56" i="4"/>
  <c r="S35" i="4"/>
  <c r="T63" i="4"/>
  <c r="T54" i="4"/>
  <c r="R64" i="4"/>
  <c r="R55" i="4"/>
  <c r="U62" i="4"/>
  <c r="U53" i="4"/>
  <c r="P66" i="4"/>
  <c r="P57" i="4"/>
  <c r="W61" i="4"/>
  <c r="W52" i="4"/>
  <c r="L58" i="1"/>
  <c r="L49" i="1"/>
  <c r="B78" i="4" l="1"/>
  <c r="M98" i="4"/>
  <c r="M59" i="4"/>
  <c r="N68" i="4" s="1"/>
  <c r="J103" i="4"/>
  <c r="K103" i="4"/>
  <c r="L103" i="4"/>
  <c r="M60" i="4"/>
  <c r="M70" i="4" s="1"/>
  <c r="M71" i="4" s="1"/>
  <c r="M72" i="4" s="1"/>
  <c r="L34" i="4"/>
  <c r="L87" i="4" s="1"/>
  <c r="L86" i="4"/>
  <c r="N58" i="4"/>
  <c r="N67" i="4"/>
  <c r="Q66" i="4"/>
  <c r="Q57" i="4"/>
  <c r="T35" i="4"/>
  <c r="V62" i="4"/>
  <c r="V53" i="4"/>
  <c r="Z88" i="4"/>
  <c r="V88" i="4"/>
  <c r="R88" i="4"/>
  <c r="Y88" i="4"/>
  <c r="U88" i="4"/>
  <c r="Q88" i="4"/>
  <c r="AB88" i="4"/>
  <c r="X88" i="4"/>
  <c r="T88" i="4"/>
  <c r="P88" i="4"/>
  <c r="AA88" i="4"/>
  <c r="W88" i="4"/>
  <c r="S88" i="4"/>
  <c r="O88" i="4"/>
  <c r="O89" i="4" s="1"/>
  <c r="R65" i="4"/>
  <c r="R56" i="4"/>
  <c r="X61" i="4"/>
  <c r="X52" i="4"/>
  <c r="S64" i="4"/>
  <c r="S55" i="4"/>
  <c r="U63" i="4"/>
  <c r="U54" i="4"/>
  <c r="M58" i="1"/>
  <c r="M49" i="1"/>
  <c r="M51" i="4" l="1"/>
  <c r="M30" i="4" s="1"/>
  <c r="M34" i="4" s="1"/>
  <c r="N59" i="4"/>
  <c r="O59" i="4" s="1"/>
  <c r="N60" i="4"/>
  <c r="N70" i="4" s="1"/>
  <c r="N71" i="4" s="1"/>
  <c r="N72" i="4" s="1"/>
  <c r="O58" i="4"/>
  <c r="O67" i="4"/>
  <c r="M32" i="4"/>
  <c r="M99" i="4"/>
  <c r="V63" i="4"/>
  <c r="V54" i="4"/>
  <c r="T64" i="4"/>
  <c r="T55" i="4"/>
  <c r="U35" i="4"/>
  <c r="R66" i="4"/>
  <c r="R57" i="4"/>
  <c r="P89" i="4"/>
  <c r="Q89" i="4" s="1"/>
  <c r="R89" i="4" s="1"/>
  <c r="S89" i="4" s="1"/>
  <c r="T89" i="4" s="1"/>
  <c r="U89" i="4" s="1"/>
  <c r="V89" i="4" s="1"/>
  <c r="W89" i="4" s="1"/>
  <c r="X89" i="4" s="1"/>
  <c r="Y89" i="4" s="1"/>
  <c r="Z89" i="4" s="1"/>
  <c r="AA89" i="4" s="1"/>
  <c r="AB89" i="4" s="1"/>
  <c r="S65" i="4"/>
  <c r="S56" i="4"/>
  <c r="Y52" i="4"/>
  <c r="Y61" i="4"/>
  <c r="W62" i="4"/>
  <c r="W53" i="4"/>
  <c r="M86" i="4"/>
  <c r="N49" i="1"/>
  <c r="N58" i="1"/>
  <c r="N51" i="4" l="1"/>
  <c r="N30" i="4" s="1"/>
  <c r="N34" i="4" s="1"/>
  <c r="O68" i="4"/>
  <c r="O60" i="4" s="1"/>
  <c r="N32" i="4"/>
  <c r="P58" i="4"/>
  <c r="P67" i="4"/>
  <c r="N97" i="4"/>
  <c r="N99" i="4" s="1"/>
  <c r="M104" i="4"/>
  <c r="U64" i="4"/>
  <c r="U55" i="4"/>
  <c r="P68" i="4"/>
  <c r="P59" i="4"/>
  <c r="O51" i="4"/>
  <c r="O30" i="4" s="1"/>
  <c r="O34" i="4" s="1"/>
  <c r="Z61" i="4"/>
  <c r="V35" i="4"/>
  <c r="S57" i="4"/>
  <c r="S66" i="4"/>
  <c r="W54" i="4"/>
  <c r="W63" i="4"/>
  <c r="T65" i="4"/>
  <c r="T56" i="4"/>
  <c r="X62" i="4"/>
  <c r="X53" i="4"/>
  <c r="M87" i="4"/>
  <c r="M33" i="4"/>
  <c r="O70" i="4"/>
  <c r="O71" i="4" s="1"/>
  <c r="O72" i="4" s="1"/>
  <c r="O58" i="1"/>
  <c r="O49" i="1"/>
  <c r="N86" i="4" l="1"/>
  <c r="O32" i="4"/>
  <c r="P60" i="4"/>
  <c r="P70" i="4" s="1"/>
  <c r="P71" i="4" s="1"/>
  <c r="P72" i="4" s="1"/>
  <c r="N104" i="4"/>
  <c r="O97" i="4"/>
  <c r="O99" i="4" s="1"/>
  <c r="Q58" i="4"/>
  <c r="Q67" i="4"/>
  <c r="T66" i="4"/>
  <c r="T57" i="4"/>
  <c r="Y53" i="4"/>
  <c r="Y62" i="4"/>
  <c r="N87" i="4"/>
  <c r="N33" i="4"/>
  <c r="W35" i="4"/>
  <c r="V64" i="4"/>
  <c r="V55" i="4"/>
  <c r="O86" i="4"/>
  <c r="X63" i="4"/>
  <c r="X54" i="4"/>
  <c r="U65" i="4"/>
  <c r="U56" i="4"/>
  <c r="Q68" i="4"/>
  <c r="Q59" i="4"/>
  <c r="P51" i="4"/>
  <c r="P30" i="4" s="1"/>
  <c r="P34" i="4" s="1"/>
  <c r="P49" i="1"/>
  <c r="P58" i="1"/>
  <c r="P32" i="4" l="1"/>
  <c r="Q60" i="4"/>
  <c r="Q70" i="4" s="1"/>
  <c r="Q71" i="4" s="1"/>
  <c r="Q72" i="4" s="1"/>
  <c r="R67" i="4"/>
  <c r="R58" i="4"/>
  <c r="P97" i="4"/>
  <c r="P99" i="4" s="1"/>
  <c r="Q97" i="4" s="1"/>
  <c r="O104" i="4"/>
  <c r="W55" i="4"/>
  <c r="W64" i="4"/>
  <c r="Z62" i="4"/>
  <c r="Z53" i="4"/>
  <c r="V65" i="4"/>
  <c r="V56" i="4"/>
  <c r="O87" i="4"/>
  <c r="O33" i="4"/>
  <c r="U66" i="4"/>
  <c r="U57" i="4"/>
  <c r="P86" i="4"/>
  <c r="X35" i="4"/>
  <c r="R68" i="4"/>
  <c r="R59" i="4"/>
  <c r="Q51" i="4"/>
  <c r="Q30" i="4" s="1"/>
  <c r="Q34" i="4" s="1"/>
  <c r="Y63" i="4"/>
  <c r="Y54" i="4"/>
  <c r="Q58" i="1"/>
  <c r="Q49" i="1"/>
  <c r="Q99" i="4" l="1"/>
  <c r="Q104" i="4" s="1"/>
  <c r="Q32" i="4"/>
  <c r="R60" i="4"/>
  <c r="R70" i="4" s="1"/>
  <c r="R71" i="4" s="1"/>
  <c r="R72" i="4" s="1"/>
  <c r="P104" i="4"/>
  <c r="S67" i="4"/>
  <c r="S58" i="4"/>
  <c r="Z63" i="4"/>
  <c r="Z54" i="4"/>
  <c r="V66" i="4"/>
  <c r="V57" i="4"/>
  <c r="AA62" i="4"/>
  <c r="X64" i="4"/>
  <c r="X55" i="4"/>
  <c r="Y35" i="4"/>
  <c r="W65" i="4"/>
  <c r="W56" i="4"/>
  <c r="R97" i="4"/>
  <c r="P87" i="4"/>
  <c r="P33" i="4"/>
  <c r="Q86" i="4"/>
  <c r="S68" i="4"/>
  <c r="S59" i="4"/>
  <c r="R51" i="4"/>
  <c r="R30" i="4" s="1"/>
  <c r="R34" i="4" s="1"/>
  <c r="R49" i="1"/>
  <c r="R58" i="1"/>
  <c r="R32" i="4" l="1"/>
  <c r="R99" i="4"/>
  <c r="S60" i="4"/>
  <c r="S70" i="4" s="1"/>
  <c r="S71" i="4" s="1"/>
  <c r="S72" i="4" s="1"/>
  <c r="T67" i="4"/>
  <c r="T58" i="4"/>
  <c r="Y64" i="4"/>
  <c r="Y55" i="4"/>
  <c r="W57" i="4"/>
  <c r="W66" i="4"/>
  <c r="AA63" i="4"/>
  <c r="AA54" i="4"/>
  <c r="T68" i="4"/>
  <c r="T59" i="4"/>
  <c r="S51" i="4"/>
  <c r="S30" i="4" s="1"/>
  <c r="S34" i="4" s="1"/>
  <c r="S97" i="4"/>
  <c r="R104" i="4"/>
  <c r="Z35" i="4"/>
  <c r="X65" i="4"/>
  <c r="X56" i="4"/>
  <c r="Q87" i="4"/>
  <c r="Q33" i="4"/>
  <c r="R86" i="4"/>
  <c r="S58" i="1"/>
  <c r="S49" i="1"/>
  <c r="S32" i="4" l="1"/>
  <c r="T32" i="4" s="1"/>
  <c r="S99" i="4"/>
  <c r="T60" i="4"/>
  <c r="U58" i="4"/>
  <c r="U67" i="4"/>
  <c r="S86" i="4"/>
  <c r="AA35" i="4"/>
  <c r="U68" i="4"/>
  <c r="U59" i="4"/>
  <c r="T51" i="4"/>
  <c r="T30" i="4" s="1"/>
  <c r="Z64" i="4"/>
  <c r="Z55" i="4"/>
  <c r="Y65" i="4"/>
  <c r="Y56" i="4"/>
  <c r="T70" i="4"/>
  <c r="T71" i="4" s="1"/>
  <c r="T72" i="4" s="1"/>
  <c r="R87" i="4"/>
  <c r="R33" i="4"/>
  <c r="S104" i="4"/>
  <c r="T97" i="4"/>
  <c r="T99" i="4" s="1"/>
  <c r="AB63" i="4"/>
  <c r="X66" i="4"/>
  <c r="X57" i="4"/>
  <c r="T58" i="1"/>
  <c r="T49" i="1"/>
  <c r="U49" i="1" s="1"/>
  <c r="U60" i="4" l="1"/>
  <c r="U70" i="4" s="1"/>
  <c r="U71" i="4" s="1"/>
  <c r="U72" i="4" s="1"/>
  <c r="V67" i="4"/>
  <c r="V58" i="4"/>
  <c r="AA55" i="4"/>
  <c r="AA64" i="4"/>
  <c r="Z65" i="4"/>
  <c r="Z56" i="4"/>
  <c r="T86" i="4"/>
  <c r="T34" i="4"/>
  <c r="AB35" i="4"/>
  <c r="Y66" i="4"/>
  <c r="Y57" i="4"/>
  <c r="U97" i="4"/>
  <c r="T104" i="4"/>
  <c r="V68" i="4"/>
  <c r="V59" i="4"/>
  <c r="U51" i="4"/>
  <c r="U30" i="4" s="1"/>
  <c r="S87" i="4"/>
  <c r="S33" i="4"/>
  <c r="V49" i="1"/>
  <c r="V58" i="1"/>
  <c r="U58" i="1"/>
  <c r="G85" i="1"/>
  <c r="G86" i="1" s="1"/>
  <c r="U99" i="4" l="1"/>
  <c r="V97" i="4" s="1"/>
  <c r="V99" i="4" s="1"/>
  <c r="U32" i="4"/>
  <c r="V60" i="4"/>
  <c r="V32" i="4" s="1"/>
  <c r="W67" i="4"/>
  <c r="W58" i="4"/>
  <c r="Z66" i="4"/>
  <c r="Z57" i="4"/>
  <c r="W68" i="4"/>
  <c r="W60" i="4" s="1"/>
  <c r="W59" i="4"/>
  <c r="V51" i="4"/>
  <c r="V30" i="4" s="1"/>
  <c r="T87" i="4"/>
  <c r="T33" i="4"/>
  <c r="U86" i="4"/>
  <c r="U34" i="4"/>
  <c r="AB64" i="4"/>
  <c r="AB55" i="4"/>
  <c r="V70" i="4"/>
  <c r="V71" i="4" s="1"/>
  <c r="V72" i="4" s="1"/>
  <c r="AC35" i="4"/>
  <c r="AA56" i="4"/>
  <c r="AA65" i="4"/>
  <c r="W49" i="1"/>
  <c r="W58" i="1"/>
  <c r="G67" i="1"/>
  <c r="G68" i="1" s="1"/>
  <c r="G69" i="1" s="1"/>
  <c r="G50" i="1"/>
  <c r="G48" i="1" s="1"/>
  <c r="U104" i="4" l="1"/>
  <c r="X67" i="4"/>
  <c r="X58" i="4"/>
  <c r="W97" i="4"/>
  <c r="W99" i="4" s="1"/>
  <c r="V104" i="4"/>
  <c r="W70" i="4"/>
  <c r="W71" i="4" s="1"/>
  <c r="W72" i="4" s="1"/>
  <c r="W32" i="4"/>
  <c r="AD35" i="4"/>
  <c r="U87" i="4"/>
  <c r="U33" i="4"/>
  <c r="AA57" i="4"/>
  <c r="AA66" i="4"/>
  <c r="V86" i="4"/>
  <c r="V34" i="4"/>
  <c r="AB65" i="4"/>
  <c r="AB56" i="4"/>
  <c r="AC64" i="4"/>
  <c r="X68" i="4"/>
  <c r="X59" i="4"/>
  <c r="W51" i="4"/>
  <c r="W30" i="4" s="1"/>
  <c r="X49" i="1"/>
  <c r="X58" i="1"/>
  <c r="G28" i="1"/>
  <c r="H91" i="1" s="1"/>
  <c r="H92" i="1" s="1"/>
  <c r="H59" i="1"/>
  <c r="G27" i="1"/>
  <c r="G83" i="1" s="1"/>
  <c r="H50" i="1"/>
  <c r="F84" i="1"/>
  <c r="X60" i="4" l="1"/>
  <c r="X70" i="4" s="1"/>
  <c r="X71" i="4" s="1"/>
  <c r="X72" i="4" s="1"/>
  <c r="Y67" i="4"/>
  <c r="Y58" i="4"/>
  <c r="AC65" i="4"/>
  <c r="AC56" i="4"/>
  <c r="AB66" i="4"/>
  <c r="AB57" i="4"/>
  <c r="AE35" i="4"/>
  <c r="W104" i="4"/>
  <c r="X97" i="4"/>
  <c r="W86" i="4"/>
  <c r="W34" i="4"/>
  <c r="V87" i="4"/>
  <c r="V33" i="4"/>
  <c r="Y68" i="4"/>
  <c r="Y60" i="4" s="1"/>
  <c r="Y59" i="4"/>
  <c r="X51" i="4"/>
  <c r="X30" i="4" s="1"/>
  <c r="I90" i="1"/>
  <c r="H99" i="1"/>
  <c r="Y49" i="1"/>
  <c r="Z58" i="1" s="1"/>
  <c r="Y58" i="1"/>
  <c r="J42" i="1"/>
  <c r="H60" i="1"/>
  <c r="H57" i="1" s="1"/>
  <c r="T42" i="1"/>
  <c r="AA42" i="1"/>
  <c r="K42" i="1"/>
  <c r="U42" i="1"/>
  <c r="V42" i="1"/>
  <c r="M42" i="1"/>
  <c r="P42" i="1"/>
  <c r="W42" i="1"/>
  <c r="Y42" i="1"/>
  <c r="R42" i="1"/>
  <c r="H42" i="1"/>
  <c r="H39" i="1" s="1"/>
  <c r="L42" i="1"/>
  <c r="S42" i="1"/>
  <c r="I42" i="1"/>
  <c r="N42" i="1"/>
  <c r="X42" i="1"/>
  <c r="Q42" i="1"/>
  <c r="O42" i="1"/>
  <c r="Z42" i="1"/>
  <c r="G31" i="1"/>
  <c r="I59" i="1"/>
  <c r="I50" i="1"/>
  <c r="X32" i="4" l="1"/>
  <c r="Y32" i="4" s="1"/>
  <c r="Z67" i="4"/>
  <c r="Z58" i="4"/>
  <c r="X99" i="4"/>
  <c r="X104" i="4" s="1"/>
  <c r="AF35" i="4"/>
  <c r="Y70" i="4"/>
  <c r="Y71" i="4" s="1"/>
  <c r="Y72" i="4" s="1"/>
  <c r="AC66" i="4"/>
  <c r="AC57" i="4"/>
  <c r="Z68" i="4"/>
  <c r="Z59" i="4"/>
  <c r="Y51" i="4"/>
  <c r="Y30" i="4" s="1"/>
  <c r="W87" i="4"/>
  <c r="W33" i="4"/>
  <c r="X86" i="4"/>
  <c r="X34" i="4"/>
  <c r="AD65" i="4"/>
  <c r="H96" i="1"/>
  <c r="I94" i="1" s="1"/>
  <c r="H32" i="1"/>
  <c r="B72" i="1"/>
  <c r="H35" i="1"/>
  <c r="H85" i="1"/>
  <c r="H86" i="1" s="1"/>
  <c r="J59" i="1"/>
  <c r="J50" i="1"/>
  <c r="Z60" i="4" l="1"/>
  <c r="Y97" i="4"/>
  <c r="Y99" i="4" s="1"/>
  <c r="Z97" i="4" s="1"/>
  <c r="Z99" i="4" s="1"/>
  <c r="AA58" i="4"/>
  <c r="AA67" i="4"/>
  <c r="AD66" i="4"/>
  <c r="AD57" i="4"/>
  <c r="Y86" i="4"/>
  <c r="Y34" i="4"/>
  <c r="AG35" i="4"/>
  <c r="AG34" i="4" s="1"/>
  <c r="AG33" i="4" s="1"/>
  <c r="Z70" i="4"/>
  <c r="Z71" i="4" s="1"/>
  <c r="Z72" i="4" s="1"/>
  <c r="Z32" i="4"/>
  <c r="X87" i="4"/>
  <c r="X33" i="4"/>
  <c r="AA68" i="4"/>
  <c r="AA59" i="4"/>
  <c r="Z51" i="4"/>
  <c r="Z30" i="4" s="1"/>
  <c r="H101" i="1"/>
  <c r="H67" i="1"/>
  <c r="H68" i="1" s="1"/>
  <c r="H69" i="1" s="1"/>
  <c r="H51" i="1"/>
  <c r="K59" i="1"/>
  <c r="K50" i="1"/>
  <c r="AA60" i="4" l="1"/>
  <c r="Y104" i="4"/>
  <c r="AB67" i="4"/>
  <c r="AB58" i="4"/>
  <c r="AA70" i="4"/>
  <c r="AA71" i="4" s="1"/>
  <c r="AA72" i="4" s="1"/>
  <c r="AA32" i="4"/>
  <c r="AA97" i="4"/>
  <c r="AA99" i="4" s="1"/>
  <c r="Z104" i="4"/>
  <c r="Y87" i="4"/>
  <c r="Y33" i="4"/>
  <c r="AE66" i="4"/>
  <c r="Z86" i="4"/>
  <c r="Z34" i="4"/>
  <c r="AB68" i="4"/>
  <c r="AB59" i="4"/>
  <c r="AA51" i="4"/>
  <c r="AA30" i="4" s="1"/>
  <c r="H48" i="1"/>
  <c r="H27" i="1" s="1"/>
  <c r="H83" i="1" s="1"/>
  <c r="H28" i="1"/>
  <c r="I91" i="1" s="1"/>
  <c r="I92" i="1" s="1"/>
  <c r="I60" i="1"/>
  <c r="I51" i="1"/>
  <c r="J51" i="1" s="1"/>
  <c r="K51" i="1" s="1"/>
  <c r="G84" i="1"/>
  <c r="L50" i="1"/>
  <c r="L59" i="1"/>
  <c r="AB60" i="4" l="1"/>
  <c r="AC67" i="4"/>
  <c r="AC58" i="4"/>
  <c r="Z87" i="4"/>
  <c r="Z33" i="4"/>
  <c r="AA86" i="4"/>
  <c r="AA34" i="4"/>
  <c r="AC68" i="4"/>
  <c r="AC59" i="4"/>
  <c r="AB51" i="4"/>
  <c r="AB30" i="4" s="1"/>
  <c r="AA104" i="4"/>
  <c r="AB97" i="4"/>
  <c r="AB70" i="4"/>
  <c r="AB71" i="4" s="1"/>
  <c r="AB72" i="4" s="1"/>
  <c r="AB32" i="4"/>
  <c r="J90" i="1"/>
  <c r="I99" i="1"/>
  <c r="K43" i="1"/>
  <c r="I61" i="1"/>
  <c r="I57" i="1" s="1"/>
  <c r="J43" i="1"/>
  <c r="U43" i="1"/>
  <c r="P43" i="1"/>
  <c r="Z43" i="1"/>
  <c r="W43" i="1"/>
  <c r="R43" i="1"/>
  <c r="Q43" i="1"/>
  <c r="AB43" i="1"/>
  <c r="L43" i="1"/>
  <c r="S43" i="1"/>
  <c r="I43" i="1"/>
  <c r="I39" i="1" s="1"/>
  <c r="M43" i="1"/>
  <c r="X43" i="1"/>
  <c r="N43" i="1"/>
  <c r="O43" i="1"/>
  <c r="H31" i="1"/>
  <c r="Y43" i="1"/>
  <c r="V43" i="1"/>
  <c r="T43" i="1"/>
  <c r="AA43" i="1"/>
  <c r="K60" i="1"/>
  <c r="J60" i="1"/>
  <c r="M59" i="1"/>
  <c r="M50" i="1"/>
  <c r="L60" i="1"/>
  <c r="L51" i="1"/>
  <c r="AB99" i="4" l="1"/>
  <c r="AC60" i="4"/>
  <c r="AC70" i="4" s="1"/>
  <c r="AC71" i="4" s="1"/>
  <c r="AD67" i="4"/>
  <c r="AD58" i="4"/>
  <c r="AC97" i="4"/>
  <c r="AB104" i="4"/>
  <c r="AC32" i="4"/>
  <c r="AA87" i="4"/>
  <c r="AA33" i="4"/>
  <c r="AD68" i="4"/>
  <c r="AD59" i="4"/>
  <c r="AC51" i="4"/>
  <c r="AC30" i="4" s="1"/>
  <c r="AC34" i="4" s="1"/>
  <c r="AC33" i="4" s="1"/>
  <c r="AB86" i="4"/>
  <c r="AB34" i="4"/>
  <c r="I96" i="1"/>
  <c r="I101" i="1" s="1"/>
  <c r="I32" i="1"/>
  <c r="I85" i="1"/>
  <c r="I86" i="1" s="1"/>
  <c r="I35" i="1"/>
  <c r="N50" i="1"/>
  <c r="N59" i="1"/>
  <c r="M51" i="1"/>
  <c r="M60" i="1"/>
  <c r="AD60" i="4" l="1"/>
  <c r="AE58" i="4"/>
  <c r="AF67" i="4" s="1"/>
  <c r="AE67" i="4"/>
  <c r="AC99" i="4"/>
  <c r="AD97" i="4" s="1"/>
  <c r="AB87" i="4"/>
  <c r="AB33" i="4"/>
  <c r="B77" i="4" s="1"/>
  <c r="AE59" i="4"/>
  <c r="AE68" i="4"/>
  <c r="AD51" i="4"/>
  <c r="AD30" i="4" s="1"/>
  <c r="AD34" i="4" s="1"/>
  <c r="AD33" i="4" s="1"/>
  <c r="AD70" i="4"/>
  <c r="AD71" i="4" s="1"/>
  <c r="AD32" i="4"/>
  <c r="J94" i="1"/>
  <c r="I67" i="1"/>
  <c r="I68" i="1" s="1"/>
  <c r="I69" i="1" s="1"/>
  <c r="I52" i="1"/>
  <c r="N60" i="1"/>
  <c r="N51" i="1"/>
  <c r="O59" i="1"/>
  <c r="O50" i="1"/>
  <c r="AD99" i="4" l="1"/>
  <c r="AE97" i="4" s="1"/>
  <c r="AC104" i="4"/>
  <c r="AE60" i="4"/>
  <c r="AE70" i="4" s="1"/>
  <c r="AE71" i="4" s="1"/>
  <c r="AF68" i="4"/>
  <c r="AF60" i="4" s="1"/>
  <c r="AF59" i="4"/>
  <c r="AE51" i="4"/>
  <c r="AE30" i="4" s="1"/>
  <c r="AE34" i="4" s="1"/>
  <c r="AE33" i="4" s="1"/>
  <c r="J61" i="1"/>
  <c r="I48" i="1"/>
  <c r="I27" i="1" s="1"/>
  <c r="I28" i="1"/>
  <c r="J91" i="1" s="1"/>
  <c r="J92" i="1" s="1"/>
  <c r="J52" i="1"/>
  <c r="H84" i="1"/>
  <c r="P59" i="1"/>
  <c r="P50" i="1"/>
  <c r="O60" i="1"/>
  <c r="O51" i="1"/>
  <c r="AD104" i="4" l="1"/>
  <c r="AE99" i="4"/>
  <c r="AE104" i="4" s="1"/>
  <c r="AE32" i="4"/>
  <c r="AF32" i="4" s="1"/>
  <c r="AG68" i="4"/>
  <c r="AG60" i="4" s="1"/>
  <c r="AF51" i="4"/>
  <c r="AF30" i="4" s="1"/>
  <c r="AF34" i="4" s="1"/>
  <c r="AF33" i="4" s="1"/>
  <c r="AF70" i="4"/>
  <c r="AF71" i="4" s="1"/>
  <c r="K90" i="1"/>
  <c r="J99" i="1"/>
  <c r="K61" i="1"/>
  <c r="L44" i="1"/>
  <c r="J62" i="1"/>
  <c r="J57" i="1" s="1"/>
  <c r="S44" i="1"/>
  <c r="V44" i="1"/>
  <c r="AC44" i="1"/>
  <c r="K44" i="1"/>
  <c r="R44" i="1"/>
  <c r="U44" i="1"/>
  <c r="J44" i="1"/>
  <c r="J39" i="1" s="1"/>
  <c r="N44" i="1"/>
  <c r="M44" i="1"/>
  <c r="AA44" i="1"/>
  <c r="Z44" i="1"/>
  <c r="W44" i="1"/>
  <c r="X44" i="1"/>
  <c r="P44" i="1"/>
  <c r="O44" i="1"/>
  <c r="Q44" i="1"/>
  <c r="T44" i="1"/>
  <c r="Y44" i="1"/>
  <c r="AB44" i="1"/>
  <c r="I83" i="1"/>
  <c r="I31" i="1"/>
  <c r="K52" i="1"/>
  <c r="P60" i="1"/>
  <c r="P51" i="1"/>
  <c r="Q59" i="1"/>
  <c r="Q50" i="1"/>
  <c r="AF97" i="4" l="1"/>
  <c r="AF99" i="4" s="1"/>
  <c r="AG97" i="4" s="1"/>
  <c r="AG99" i="4" s="1"/>
  <c r="AG70" i="4"/>
  <c r="AG71" i="4" s="1"/>
  <c r="AG32" i="4"/>
  <c r="AF104" i="4"/>
  <c r="J96" i="1"/>
  <c r="K94" i="1" s="1"/>
  <c r="L52" i="1"/>
  <c r="M61" i="1" s="1"/>
  <c r="J35" i="1"/>
  <c r="J32" i="1"/>
  <c r="L61" i="1"/>
  <c r="J85" i="1"/>
  <c r="J86" i="1" s="1"/>
  <c r="Q60" i="1"/>
  <c r="Q51" i="1"/>
  <c r="R59" i="1"/>
  <c r="R50" i="1"/>
  <c r="AH97" i="4" l="1"/>
  <c r="AH99" i="4" s="1"/>
  <c r="AG104" i="4"/>
  <c r="J101" i="1"/>
  <c r="M52" i="1"/>
  <c r="J67" i="1"/>
  <c r="J53" i="1"/>
  <c r="K32" i="1"/>
  <c r="R51" i="1"/>
  <c r="R60" i="1"/>
  <c r="S59" i="1"/>
  <c r="S50" i="1"/>
  <c r="AI97" i="4" l="1"/>
  <c r="AI99" i="4" s="1"/>
  <c r="AI104" i="4" s="1"/>
  <c r="AH104" i="4"/>
  <c r="K62" i="1"/>
  <c r="J48" i="1"/>
  <c r="J27" i="1" s="1"/>
  <c r="N61" i="1"/>
  <c r="N52" i="1"/>
  <c r="J28" i="1"/>
  <c r="J68" i="1"/>
  <c r="J69" i="1" s="1"/>
  <c r="L32" i="1"/>
  <c r="K53" i="1"/>
  <c r="S60" i="1"/>
  <c r="S51" i="1"/>
  <c r="I84" i="1"/>
  <c r="T59" i="1"/>
  <c r="T50" i="1"/>
  <c r="Z45" i="1" l="1"/>
  <c r="K91" i="1"/>
  <c r="L62" i="1"/>
  <c r="O52" i="1"/>
  <c r="O61" i="1"/>
  <c r="AD45" i="1"/>
  <c r="AC45" i="1"/>
  <c r="AB45" i="1"/>
  <c r="AA45" i="1"/>
  <c r="J83" i="1"/>
  <c r="J31" i="1"/>
  <c r="M32" i="1"/>
  <c r="L53" i="1"/>
  <c r="K35" i="1"/>
  <c r="T60" i="1"/>
  <c r="T51" i="1"/>
  <c r="U59" i="1"/>
  <c r="U50" i="1"/>
  <c r="V50" i="1" s="1"/>
  <c r="K95" i="1" l="1"/>
  <c r="K92" i="1"/>
  <c r="M53" i="1"/>
  <c r="N53" i="1" s="1"/>
  <c r="P61" i="1"/>
  <c r="P52" i="1"/>
  <c r="W50" i="1"/>
  <c r="W59" i="1"/>
  <c r="N32" i="1"/>
  <c r="M62" i="1"/>
  <c r="V59" i="1"/>
  <c r="U60" i="1"/>
  <c r="U51" i="1"/>
  <c r="L90" i="1" l="1"/>
  <c r="K99" i="1"/>
  <c r="O62" i="1"/>
  <c r="Q61" i="1"/>
  <c r="Q52" i="1"/>
  <c r="N62" i="1"/>
  <c r="X50" i="1"/>
  <c r="X59" i="1"/>
  <c r="O32" i="1"/>
  <c r="O53" i="1"/>
  <c r="V60" i="1"/>
  <c r="V51" i="1"/>
  <c r="W51" i="1" s="1"/>
  <c r="R52" i="1" l="1"/>
  <c r="R61" i="1"/>
  <c r="P62" i="1"/>
  <c r="X51" i="1"/>
  <c r="X60" i="1"/>
  <c r="Y50" i="1"/>
  <c r="Y59" i="1"/>
  <c r="P32" i="1"/>
  <c r="P53" i="1"/>
  <c r="W60" i="1"/>
  <c r="Q53" i="1" l="1"/>
  <c r="R62" i="1" s="1"/>
  <c r="S52" i="1"/>
  <c r="S61" i="1"/>
  <c r="Z50" i="1"/>
  <c r="AA59" i="1" s="1"/>
  <c r="Z59" i="1"/>
  <c r="Y51" i="1"/>
  <c r="Y60" i="1"/>
  <c r="Q32" i="1"/>
  <c r="Q62" i="1"/>
  <c r="R53" i="1" l="1"/>
  <c r="S53" i="1" s="1"/>
  <c r="T52" i="1"/>
  <c r="T61" i="1"/>
  <c r="Z51" i="1"/>
  <c r="Z60" i="1"/>
  <c r="R32" i="1"/>
  <c r="S62" i="1" l="1"/>
  <c r="U52" i="1"/>
  <c r="U61" i="1"/>
  <c r="AA51" i="1"/>
  <c r="AB60" i="1" s="1"/>
  <c r="AA60" i="1"/>
  <c r="S32" i="1"/>
  <c r="T62" i="1"/>
  <c r="T53" i="1"/>
  <c r="V61" i="1" l="1"/>
  <c r="V52" i="1"/>
  <c r="T32" i="1"/>
  <c r="U62" i="1"/>
  <c r="U53" i="1"/>
  <c r="W61" i="1" l="1"/>
  <c r="W52" i="1"/>
  <c r="U32" i="1"/>
  <c r="V62" i="1"/>
  <c r="V53" i="1"/>
  <c r="X52" i="1" l="1"/>
  <c r="X61" i="1"/>
  <c r="V32" i="1"/>
  <c r="W62" i="1"/>
  <c r="W53" i="1"/>
  <c r="Y52" i="1" l="1"/>
  <c r="Y61" i="1"/>
  <c r="W32" i="1"/>
  <c r="X62" i="1"/>
  <c r="X53" i="1"/>
  <c r="Y53" i="1" s="1"/>
  <c r="Z52" i="1" l="1"/>
  <c r="Z61" i="1"/>
  <c r="Z53" i="1"/>
  <c r="Z62" i="1"/>
  <c r="X32" i="1"/>
  <c r="Y62" i="1"/>
  <c r="R45" i="1"/>
  <c r="O45" i="1"/>
  <c r="U45" i="1"/>
  <c r="Y45" i="1"/>
  <c r="K85" i="1"/>
  <c r="K86" i="1" s="1"/>
  <c r="M45" i="1"/>
  <c r="P45" i="1"/>
  <c r="S45" i="1"/>
  <c r="N45" i="1"/>
  <c r="Q45" i="1"/>
  <c r="T45" i="1"/>
  <c r="W45" i="1"/>
  <c r="V45" i="1"/>
  <c r="X45" i="1"/>
  <c r="K63" i="1"/>
  <c r="K57" i="1" s="1"/>
  <c r="L45" i="1"/>
  <c r="K45" i="1"/>
  <c r="K54" i="1" l="1"/>
  <c r="K48" i="1" s="1"/>
  <c r="K27" i="1" s="1"/>
  <c r="K83" i="1" s="1"/>
  <c r="K39" i="1"/>
  <c r="K96" i="1" s="1"/>
  <c r="AA52" i="1"/>
  <c r="AA61" i="1"/>
  <c r="AA53" i="1"/>
  <c r="AA62" i="1"/>
  <c r="Y32" i="1"/>
  <c r="K67" i="1"/>
  <c r="K68" i="1" s="1"/>
  <c r="K69" i="1" s="1"/>
  <c r="L54" i="1"/>
  <c r="L63" i="1" l="1"/>
  <c r="K101" i="1"/>
  <c r="L94" i="1"/>
  <c r="M63" i="1"/>
  <c r="AB61" i="1"/>
  <c r="AB52" i="1"/>
  <c r="AB53" i="1"/>
  <c r="AB62" i="1"/>
  <c r="Z32" i="1"/>
  <c r="M54" i="1"/>
  <c r="K28" i="1"/>
  <c r="L91" i="1" s="1"/>
  <c r="L92" i="1" l="1"/>
  <c r="L95" i="1"/>
  <c r="N63" i="1"/>
  <c r="AC61" i="1"/>
  <c r="AC53" i="1"/>
  <c r="AC62" i="1"/>
  <c r="K31" i="1"/>
  <c r="AD46" i="1"/>
  <c r="AA46" i="1"/>
  <c r="AE46" i="1"/>
  <c r="AC46" i="1"/>
  <c r="AB46" i="1"/>
  <c r="AA32" i="1"/>
  <c r="N54" i="1"/>
  <c r="J84" i="1"/>
  <c r="M90" i="1" l="1"/>
  <c r="L99" i="1"/>
  <c r="AD62" i="1"/>
  <c r="O54" i="1"/>
  <c r="P54" i="1" s="1"/>
  <c r="AB32" i="1"/>
  <c r="AC32" i="1" s="1"/>
  <c r="AD32" i="1" s="1"/>
  <c r="L35" i="1"/>
  <c r="O63" i="1"/>
  <c r="AE32" i="1" l="1"/>
  <c r="P63" i="1"/>
  <c r="Q63" i="1"/>
  <c r="Q54" i="1"/>
  <c r="AF32" i="1" l="1"/>
  <c r="R63" i="1"/>
  <c r="R54" i="1"/>
  <c r="AG32" i="1" l="1"/>
  <c r="AG31" i="1" s="1"/>
  <c r="AG30" i="1" s="1"/>
  <c r="S63" i="1"/>
  <c r="S54" i="1"/>
  <c r="T63" i="1" l="1"/>
  <c r="T54" i="1"/>
  <c r="U63" i="1" l="1"/>
  <c r="U54" i="1"/>
  <c r="V63" i="1" l="1"/>
  <c r="V54" i="1"/>
  <c r="W63" i="1" l="1"/>
  <c r="W54" i="1"/>
  <c r="X63" i="1" l="1"/>
  <c r="X54" i="1"/>
  <c r="Y63" i="1" l="1"/>
  <c r="Y54" i="1"/>
  <c r="Z54" i="1" l="1"/>
  <c r="AA54" i="1" s="1"/>
  <c r="Z63" i="1"/>
  <c r="L85" i="1"/>
  <c r="L86" i="1" s="1"/>
  <c r="V46" i="1"/>
  <c r="X46" i="1"/>
  <c r="N46" i="1"/>
  <c r="R46" i="1"/>
  <c r="P46" i="1"/>
  <c r="O46" i="1"/>
  <c r="T46" i="1"/>
  <c r="M46" i="1"/>
  <c r="Q46" i="1"/>
  <c r="S46" i="1"/>
  <c r="U46" i="1"/>
  <c r="W46" i="1"/>
  <c r="Z46" i="1"/>
  <c r="Y46" i="1"/>
  <c r="L64" i="1"/>
  <c r="L57" i="1" s="1"/>
  <c r="L46" i="1"/>
  <c r="L55" i="1" l="1"/>
  <c r="L48" i="1" s="1"/>
  <c r="L27" i="1" s="1"/>
  <c r="L39" i="1"/>
  <c r="AA63" i="1"/>
  <c r="AB54" i="1"/>
  <c r="AB63" i="1"/>
  <c r="K84" i="1"/>
  <c r="L67" i="1"/>
  <c r="L68" i="1" s="1"/>
  <c r="L69" i="1" s="1"/>
  <c r="L28" i="1" l="1"/>
  <c r="M91" i="1" s="1"/>
  <c r="L96" i="1"/>
  <c r="M55" i="1"/>
  <c r="N55" i="1" s="1"/>
  <c r="O55" i="1" s="1"/>
  <c r="M64" i="1"/>
  <c r="AC54" i="1"/>
  <c r="AC63" i="1"/>
  <c r="L83" i="1"/>
  <c r="AF47" i="1" l="1"/>
  <c r="AF39" i="1" s="1"/>
  <c r="N64" i="1"/>
  <c r="AC47" i="1"/>
  <c r="AC39" i="1" s="1"/>
  <c r="L31" i="1"/>
  <c r="AE47" i="1"/>
  <c r="AE39" i="1" s="1"/>
  <c r="AB47" i="1"/>
  <c r="AB39" i="1" s="1"/>
  <c r="AD47" i="1"/>
  <c r="AD39" i="1" s="1"/>
  <c r="M94" i="1"/>
  <c r="M95" i="1" s="1"/>
  <c r="L101" i="1"/>
  <c r="L100" i="1"/>
  <c r="K100" i="1"/>
  <c r="J100" i="1"/>
  <c r="M92" i="1"/>
  <c r="M99" i="1" s="1"/>
  <c r="P64" i="1"/>
  <c r="O64" i="1"/>
  <c r="AD54" i="1"/>
  <c r="AD63" i="1"/>
  <c r="M35" i="1"/>
  <c r="P55" i="1"/>
  <c r="Q47" i="1"/>
  <c r="Q39" i="1" s="1"/>
  <c r="U47" i="1"/>
  <c r="U39" i="1" s="1"/>
  <c r="M47" i="1"/>
  <c r="M39" i="1" s="1"/>
  <c r="M65" i="1"/>
  <c r="M57" i="1" s="1"/>
  <c r="Z47" i="1"/>
  <c r="Z39" i="1" s="1"/>
  <c r="Y47" i="1"/>
  <c r="Y39" i="1" s="1"/>
  <c r="R47" i="1"/>
  <c r="R39" i="1" s="1"/>
  <c r="T47" i="1"/>
  <c r="T39" i="1" s="1"/>
  <c r="B73" i="1"/>
  <c r="B75" i="1" s="1"/>
  <c r="AA47" i="1"/>
  <c r="AA39" i="1" s="1"/>
  <c r="N47" i="1"/>
  <c r="N39" i="1" s="1"/>
  <c r="P47" i="1"/>
  <c r="P39" i="1" s="1"/>
  <c r="S47" i="1"/>
  <c r="S39" i="1" s="1"/>
  <c r="W47" i="1"/>
  <c r="W39" i="1" s="1"/>
  <c r="X47" i="1"/>
  <c r="X39" i="1" s="1"/>
  <c r="O47" i="1"/>
  <c r="O39" i="1" s="1"/>
  <c r="V47" i="1"/>
  <c r="V39" i="1" s="1"/>
  <c r="M85" i="1"/>
  <c r="M86" i="1" s="1"/>
  <c r="N86" i="1" s="1"/>
  <c r="M96" i="1" l="1"/>
  <c r="AE63" i="1"/>
  <c r="M29" i="1"/>
  <c r="Q64" i="1"/>
  <c r="B76" i="1"/>
  <c r="Q55" i="1"/>
  <c r="R55" i="1" s="1"/>
  <c r="M56" i="1"/>
  <c r="M67" i="1"/>
  <c r="B78" i="1"/>
  <c r="B80" i="1" s="1"/>
  <c r="N94" i="1" l="1"/>
  <c r="M101" i="1"/>
  <c r="N56" i="1"/>
  <c r="N48" i="1" s="1"/>
  <c r="N27" i="1" s="1"/>
  <c r="M48" i="1"/>
  <c r="M27" i="1" s="1"/>
  <c r="R64" i="1"/>
  <c r="M68" i="1"/>
  <c r="M69" i="1" s="1"/>
  <c r="N65" i="1"/>
  <c r="S64" i="1"/>
  <c r="S55" i="1"/>
  <c r="X85" i="1"/>
  <c r="R85" i="1"/>
  <c r="U85" i="1"/>
  <c r="T85" i="1"/>
  <c r="W85" i="1"/>
  <c r="AB85" i="1"/>
  <c r="Z85" i="1"/>
  <c r="Q85" i="1"/>
  <c r="AA85" i="1"/>
  <c r="P85" i="1"/>
  <c r="V85" i="1"/>
  <c r="O85" i="1"/>
  <c r="O86" i="1" s="1"/>
  <c r="Y85" i="1"/>
  <c r="S85" i="1"/>
  <c r="O65" i="1" l="1"/>
  <c r="O57" i="1" s="1"/>
  <c r="O67" i="1" s="1"/>
  <c r="O68" i="1" s="1"/>
  <c r="N57" i="1"/>
  <c r="N29" i="1" s="1"/>
  <c r="O56" i="1"/>
  <c r="O48" i="1" s="1"/>
  <c r="O27" i="1" s="1"/>
  <c r="N83" i="1"/>
  <c r="N31" i="1"/>
  <c r="N30" i="1" s="1"/>
  <c r="M83" i="1"/>
  <c r="M31" i="1"/>
  <c r="M30" i="1" s="1"/>
  <c r="L84" i="1"/>
  <c r="T64" i="1"/>
  <c r="T55" i="1"/>
  <c r="P86" i="1"/>
  <c r="Q86" i="1" s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N96" i="1" l="1"/>
  <c r="O94" i="1" s="1"/>
  <c r="O96" i="1" s="1"/>
  <c r="O29" i="1"/>
  <c r="N67" i="1"/>
  <c r="N68" i="1" s="1"/>
  <c r="N69" i="1" s="1"/>
  <c r="P56" i="1"/>
  <c r="P48" i="1" s="1"/>
  <c r="P27" i="1" s="1"/>
  <c r="P65" i="1"/>
  <c r="P57" i="1" s="1"/>
  <c r="P67" i="1" s="1"/>
  <c r="O83" i="1"/>
  <c r="O31" i="1"/>
  <c r="O30" i="1" s="1"/>
  <c r="M84" i="1"/>
  <c r="N84" i="1"/>
  <c r="U64" i="1"/>
  <c r="U55" i="1"/>
  <c r="Q65" i="1" l="1"/>
  <c r="Q57" i="1" s="1"/>
  <c r="Q67" i="1" s="1"/>
  <c r="P29" i="1"/>
  <c r="N101" i="1"/>
  <c r="O101" i="1"/>
  <c r="P94" i="1"/>
  <c r="P96" i="1" s="1"/>
  <c r="Q56" i="1"/>
  <c r="Q48" i="1" s="1"/>
  <c r="Q27" i="1" s="1"/>
  <c r="P83" i="1"/>
  <c r="P31" i="1"/>
  <c r="P30" i="1" s="1"/>
  <c r="O84" i="1"/>
  <c r="O69" i="1"/>
  <c r="V64" i="1"/>
  <c r="V55" i="1"/>
  <c r="P68" i="1"/>
  <c r="Q29" i="1" l="1"/>
  <c r="R56" i="1"/>
  <c r="R48" i="1" s="1"/>
  <c r="R65" i="1"/>
  <c r="R57" i="1" s="1"/>
  <c r="Q94" i="1"/>
  <c r="Q96" i="1" s="1"/>
  <c r="P101" i="1"/>
  <c r="Q83" i="1"/>
  <c r="Q31" i="1"/>
  <c r="Q30" i="1" s="1"/>
  <c r="P69" i="1"/>
  <c r="R27" i="1"/>
  <c r="W55" i="1"/>
  <c r="W64" i="1"/>
  <c r="Q68" i="1"/>
  <c r="S56" i="1" l="1"/>
  <c r="S48" i="1" s="1"/>
  <c r="S27" i="1" s="1"/>
  <c r="R29" i="1"/>
  <c r="S65" i="1"/>
  <c r="R67" i="1"/>
  <c r="R68" i="1" s="1"/>
  <c r="R94" i="1"/>
  <c r="R96" i="1" s="1"/>
  <c r="Q101" i="1"/>
  <c r="S57" i="1"/>
  <c r="R83" i="1"/>
  <c r="R31" i="1"/>
  <c r="R30" i="1" s="1"/>
  <c r="Q69" i="1"/>
  <c r="P84" i="1"/>
  <c r="X55" i="1"/>
  <c r="X64" i="1"/>
  <c r="Q84" i="1"/>
  <c r="T65" i="1" l="1"/>
  <c r="T57" i="1" s="1"/>
  <c r="T29" i="1" s="1"/>
  <c r="T56" i="1"/>
  <c r="T48" i="1" s="1"/>
  <c r="S29" i="1"/>
  <c r="S67" i="1"/>
  <c r="S68" i="1" s="1"/>
  <c r="S94" i="1"/>
  <c r="S96" i="1" s="1"/>
  <c r="R101" i="1"/>
  <c r="S83" i="1"/>
  <c r="S31" i="1"/>
  <c r="S30" i="1" s="1"/>
  <c r="R69" i="1"/>
  <c r="T27" i="1"/>
  <c r="R84" i="1"/>
  <c r="Y55" i="1"/>
  <c r="Y64" i="1"/>
  <c r="U56" i="1" l="1"/>
  <c r="U48" i="1" s="1"/>
  <c r="U27" i="1" s="1"/>
  <c r="U65" i="1"/>
  <c r="T67" i="1"/>
  <c r="T94" i="1"/>
  <c r="T96" i="1" s="1"/>
  <c r="S101" i="1"/>
  <c r="U57" i="1"/>
  <c r="U29" i="1" s="1"/>
  <c r="T83" i="1"/>
  <c r="T31" i="1"/>
  <c r="T30" i="1" s="1"/>
  <c r="S69" i="1"/>
  <c r="Z64" i="1"/>
  <c r="Z55" i="1"/>
  <c r="V56" i="1"/>
  <c r="V48" i="1" s="1"/>
  <c r="T68" i="1"/>
  <c r="S84" i="1"/>
  <c r="V65" i="1" l="1"/>
  <c r="U67" i="1"/>
  <c r="U94" i="1"/>
  <c r="U96" i="1" s="1"/>
  <c r="T101" i="1"/>
  <c r="V57" i="1"/>
  <c r="V29" i="1" s="1"/>
  <c r="AA55" i="1"/>
  <c r="AB55" i="1" s="1"/>
  <c r="U83" i="1"/>
  <c r="U31" i="1"/>
  <c r="U30" i="1" s="1"/>
  <c r="T69" i="1"/>
  <c r="U68" i="1"/>
  <c r="W56" i="1"/>
  <c r="W48" i="1" s="1"/>
  <c r="W65" i="1"/>
  <c r="V27" i="1"/>
  <c r="AA64" i="1"/>
  <c r="T84" i="1"/>
  <c r="V67" i="1" l="1"/>
  <c r="V68" i="1" s="1"/>
  <c r="V94" i="1"/>
  <c r="V96" i="1" s="1"/>
  <c r="U101" i="1"/>
  <c r="W57" i="1"/>
  <c r="W29" i="1" s="1"/>
  <c r="AB64" i="1"/>
  <c r="AC55" i="1"/>
  <c r="AC64" i="1"/>
  <c r="V83" i="1"/>
  <c r="V31" i="1"/>
  <c r="V30" i="1" s="1"/>
  <c r="U69" i="1"/>
  <c r="U84" i="1"/>
  <c r="X56" i="1"/>
  <c r="X48" i="1" s="1"/>
  <c r="X65" i="1"/>
  <c r="W27" i="1"/>
  <c r="W94" i="1" l="1"/>
  <c r="W96" i="1" s="1"/>
  <c r="V101" i="1"/>
  <c r="W67" i="1"/>
  <c r="W68" i="1" s="1"/>
  <c r="X57" i="1"/>
  <c r="X29" i="1" s="1"/>
  <c r="AD55" i="1"/>
  <c r="AD64" i="1"/>
  <c r="W83" i="1"/>
  <c r="W31" i="1"/>
  <c r="W30" i="1" s="1"/>
  <c r="V69" i="1"/>
  <c r="Y56" i="1"/>
  <c r="Y48" i="1" s="1"/>
  <c r="Y65" i="1"/>
  <c r="X27" i="1"/>
  <c r="V84" i="1"/>
  <c r="W101" i="1" l="1"/>
  <c r="X94" i="1"/>
  <c r="X96" i="1" s="1"/>
  <c r="X67" i="1"/>
  <c r="X68" i="1" s="1"/>
  <c r="Y57" i="1"/>
  <c r="Y29" i="1" s="1"/>
  <c r="AE55" i="1"/>
  <c r="AE64" i="1"/>
  <c r="X83" i="1"/>
  <c r="X31" i="1"/>
  <c r="X30" i="1" s="1"/>
  <c r="W69" i="1"/>
  <c r="W84" i="1"/>
  <c r="Z65" i="1"/>
  <c r="Z56" i="1"/>
  <c r="Z48" i="1" s="1"/>
  <c r="Y27" i="1"/>
  <c r="X101" i="1" l="1"/>
  <c r="Y94" i="1"/>
  <c r="Y96" i="1" s="1"/>
  <c r="Y67" i="1"/>
  <c r="Y68" i="1" s="1"/>
  <c r="Z57" i="1"/>
  <c r="Z29" i="1" s="1"/>
  <c r="AF64" i="1"/>
  <c r="Y83" i="1"/>
  <c r="Y31" i="1"/>
  <c r="Y30" i="1" s="1"/>
  <c r="X69" i="1"/>
  <c r="AA56" i="1"/>
  <c r="AA65" i="1"/>
  <c r="Z27" i="1"/>
  <c r="X84" i="1"/>
  <c r="Y101" i="1" l="1"/>
  <c r="Z94" i="1"/>
  <c r="Z96" i="1" s="1"/>
  <c r="Z67" i="1"/>
  <c r="Z68" i="1" s="1"/>
  <c r="AA57" i="1"/>
  <c r="AA29" i="1" s="1"/>
  <c r="AB56" i="1"/>
  <c r="AB48" i="1" s="1"/>
  <c r="AB27" i="1" s="1"/>
  <c r="AA48" i="1"/>
  <c r="AA27" i="1" s="1"/>
  <c r="Z83" i="1"/>
  <c r="Z31" i="1"/>
  <c r="Z30" i="1" s="1"/>
  <c r="Y69" i="1"/>
  <c r="Y84" i="1"/>
  <c r="AB65" i="1"/>
  <c r="Z101" i="1" l="1"/>
  <c r="AA94" i="1"/>
  <c r="AA96" i="1" s="1"/>
  <c r="AA67" i="1"/>
  <c r="AA68" i="1" s="1"/>
  <c r="AB57" i="1"/>
  <c r="AB29" i="1" s="1"/>
  <c r="AC65" i="1"/>
  <c r="AC57" i="1" s="1"/>
  <c r="AC56" i="1"/>
  <c r="AC48" i="1" s="1"/>
  <c r="AC27" i="1" s="1"/>
  <c r="AC31" i="1" s="1"/>
  <c r="AC30" i="1" s="1"/>
  <c r="AB83" i="1"/>
  <c r="AB31" i="1"/>
  <c r="AB30" i="1" s="1"/>
  <c r="AA83" i="1"/>
  <c r="AA31" i="1"/>
  <c r="AA30" i="1" s="1"/>
  <c r="Z69" i="1"/>
  <c r="Z84" i="1"/>
  <c r="AB67" i="1" l="1"/>
  <c r="AB68" i="1" s="1"/>
  <c r="AA101" i="1"/>
  <c r="AB94" i="1"/>
  <c r="AB96" i="1" s="1"/>
  <c r="AD65" i="1"/>
  <c r="AD57" i="1" s="1"/>
  <c r="AD67" i="1" s="1"/>
  <c r="AD68" i="1" s="1"/>
  <c r="AD56" i="1"/>
  <c r="AD48" i="1" s="1"/>
  <c r="AD27" i="1" s="1"/>
  <c r="AD31" i="1" s="1"/>
  <c r="AD30" i="1" s="1"/>
  <c r="AC29" i="1"/>
  <c r="AA69" i="1"/>
  <c r="AA84" i="1"/>
  <c r="AB84" i="1"/>
  <c r="AB101" i="1" l="1"/>
  <c r="AC94" i="1"/>
  <c r="AC96" i="1" s="1"/>
  <c r="AD29" i="1"/>
  <c r="AE65" i="1"/>
  <c r="AE56" i="1"/>
  <c r="AE48" i="1" s="1"/>
  <c r="AE27" i="1" s="1"/>
  <c r="AE31" i="1" s="1"/>
  <c r="AE30" i="1" s="1"/>
  <c r="AC67" i="1"/>
  <c r="AC68" i="1" s="1"/>
  <c r="AB69" i="1"/>
  <c r="B74" i="1" s="1"/>
  <c r="AE57" i="1" l="1"/>
  <c r="AE29" i="1" s="1"/>
  <c r="AC101" i="1"/>
  <c r="AD94" i="1"/>
  <c r="AD96" i="1" s="1"/>
  <c r="AF65" i="1"/>
  <c r="AF56" i="1"/>
  <c r="AG65" i="1" s="1"/>
  <c r="AG57" i="1" s="1"/>
  <c r="AG67" i="1" s="1"/>
  <c r="AG68" i="1" s="1"/>
  <c r="AF57" i="1" l="1"/>
  <c r="AF67" i="1" s="1"/>
  <c r="AF68" i="1" s="1"/>
  <c r="AE67" i="1"/>
  <c r="AE68" i="1" s="1"/>
  <c r="AD101" i="1"/>
  <c r="AE94" i="1"/>
  <c r="AE96" i="1" s="1"/>
  <c r="AF48" i="1"/>
  <c r="AF27" i="1" s="1"/>
  <c r="AF31" i="1" s="1"/>
  <c r="AF30" i="1" s="1"/>
  <c r="AF29" i="1" l="1"/>
  <c r="AG29" i="1" s="1"/>
  <c r="AF94" i="1"/>
  <c r="AF96" i="1" s="1"/>
  <c r="AE101" i="1"/>
  <c r="AG94" i="1" l="1"/>
  <c r="AG96" i="1" s="1"/>
  <c r="AF101" i="1"/>
  <c r="AH94" i="1" l="1"/>
  <c r="AH96" i="1" s="1"/>
  <c r="AG101" i="1"/>
  <c r="AI94" i="1" l="1"/>
  <c r="AI96" i="1" s="1"/>
  <c r="AI101" i="1" s="1"/>
  <c r="AH101" i="1"/>
</calcChain>
</file>

<file path=xl/sharedStrings.xml><?xml version="1.0" encoding="utf-8"?>
<sst xmlns="http://schemas.openxmlformats.org/spreadsheetml/2006/main" count="225" uniqueCount="117">
  <si>
    <t>Zapojené zdroje spolufinancující subjekty</t>
  </si>
  <si>
    <t>Požadovaný úrok spolufinancujícího subjektu</t>
  </si>
  <si>
    <t>Dotace</t>
  </si>
  <si>
    <t>Vlastní zdroje žadatelů</t>
  </si>
  <si>
    <t>Podíl vlastních zdrojů žadatelů</t>
  </si>
  <si>
    <t>Míra zapojení spolufinancujícího subjektu</t>
  </si>
  <si>
    <t>Počet let trvání úvěru</t>
  </si>
  <si>
    <t xml:space="preserve">Přijaté splátky </t>
  </si>
  <si>
    <t>stavy na konci období</t>
  </si>
  <si>
    <t>Pákový efekt</t>
  </si>
  <si>
    <t>Zaúvěrování</t>
  </si>
  <si>
    <t>Nově mobilizovaný kapitál</t>
  </si>
  <si>
    <t>Celkový mobilizovaný kapitál</t>
  </si>
  <si>
    <t>Podíl alokace ve Fondu FN</t>
  </si>
  <si>
    <t>Přidaná hodnota</t>
  </si>
  <si>
    <t xml:space="preserve"> </t>
  </si>
  <si>
    <t>Předběžné posouzení využití finančního nástroje v IROP</t>
  </si>
  <si>
    <t>Ministerstvo pro místní rozvoj</t>
  </si>
  <si>
    <t>mil. Kč</t>
  </si>
  <si>
    <t>Vlastní zdroje žadatelů budou typicky využity na krytí nezpůsobilých výdajů projektu</t>
  </si>
  <si>
    <t>p.a.</t>
  </si>
  <si>
    <t>Celkové generované investice prvního cyklu</t>
  </si>
  <si>
    <t>Podíl financování finančním nástrojem (ESIF + banky)</t>
  </si>
  <si>
    <t>Součet zdrojů IROP a spolufinancujících bank na počátku čerpání</t>
  </si>
  <si>
    <t>Alokace IROP</t>
  </si>
  <si>
    <t>Převzata alokace vyčleněná na SC 2.5 IROP</t>
  </si>
  <si>
    <t>Návrh dodavatele na fixní úrokovou sazbu Fondu IROP</t>
  </si>
  <si>
    <t>Návrh dodavatele na nastavení max. výše ceny úvěru pro konečného příjemce</t>
  </si>
  <si>
    <t>Proměnná návrhem spolufinancujícího subjektu - výsledek poměření vlastního požadavku na úrokovou sazbu za poskytnuté zdroje vůči limitu cílové sazby</t>
  </si>
  <si>
    <t>Vložena modelová hodnota délky trvání úvěrového vztahu</t>
  </si>
  <si>
    <t>Úrok zdrojů poskytovaných z IROP</t>
  </si>
  <si>
    <t>roků</t>
  </si>
  <si>
    <t>Hodnota je výsledkem návrhu banky na míru zapojení vlastních zdrojů po boku IROP, aby bylo dodrženo pravidlo o max. konečné úrokové sazbě výše 1,5 % p.a.</t>
  </si>
  <si>
    <t>Úrok inkasovaný spolufinancujícím subjektem</t>
  </si>
  <si>
    <t>Úrok inkasovaný Fondem IROP</t>
  </si>
  <si>
    <t>Objem úvěrů (jistina)</t>
  </si>
  <si>
    <t>Modelování multiplikačních efektů</t>
  </si>
  <si>
    <t xml:space="preserve">Nastaveno modelové čerpání celkové alokace - první roky 6 mld. Kč. </t>
  </si>
  <si>
    <t>Kumulace navrácených prostředků</t>
  </si>
  <si>
    <t>Investiční fáze</t>
  </si>
  <si>
    <t>Objem nesplacených úvěrů - stavové vyjádření</t>
  </si>
  <si>
    <t>Objem poskytnutých úvěrů - stavové vyjádření</t>
  </si>
  <si>
    <t>Objem prostředků revolvingu - celkem IROP i sp. subjekty</t>
  </si>
  <si>
    <t>Objem prostředků revolvingu - zdroje IROP</t>
  </si>
  <si>
    <t>Objem dostupných prostředků - po odečtu poskytnutých úvěrů</t>
  </si>
  <si>
    <t>Celkový objem investičních prostředků (alokace IROP i banky + revolving)</t>
  </si>
  <si>
    <t>Zaplacený úrok celkem</t>
  </si>
  <si>
    <t>Zdroje na konci roku</t>
  </si>
  <si>
    <t>Celkem proinvestováno - milník rok 2018</t>
  </si>
  <si>
    <t>Celkem proinvestováno - konec období rok 2023</t>
  </si>
  <si>
    <t>Limit výše výsledné  úrokové míry úvěru příjemci</t>
  </si>
  <si>
    <t>Pro modelový příklad bylo nastaveno financování pouze finančním nástrojem</t>
  </si>
  <si>
    <t>Vyplněn modelový příklad, úrok si určuje spolufinancující subjekt dle výsledků vlastního ratingu. Očekáváme obdobné výše, jako ceny hypotečních úvěrů</t>
  </si>
  <si>
    <t>Podíl dluhu ve finančním nástroji</t>
  </si>
  <si>
    <t>Podíl dotace ve finančním nástroji</t>
  </si>
  <si>
    <t>Hodnota reinvestovaných úroků IROP</t>
  </si>
  <si>
    <t>údaje v mil. Kč</t>
  </si>
  <si>
    <t>Management fee / základní odměna</t>
  </si>
  <si>
    <t>Celková výše vyplacených management fee</t>
  </si>
  <si>
    <t>Maximální limit management fee vůči alokaci fondu</t>
  </si>
  <si>
    <t>Skutečně vyplacený podíl m. fees na alokaci fondu</t>
  </si>
  <si>
    <t>Management fee - základní odměna</t>
  </si>
  <si>
    <t>Pozn. Deloitte: Změny v parametrickém nastavení je možné provést skrze změny hodnot v šedě podbarvených polích - pro potřebu změn kontaktujte Deloitte.</t>
  </si>
  <si>
    <t xml:space="preserve">Vyplněna maximální povolená výše základní sazby management fee, jak ho povoluje ustanovení prováděcího nařízení č. 480/2014, článek 13 </t>
  </si>
  <si>
    <t xml:space="preserve">Vyplněna maximální povolená výše výkonnostní sazby management fee, jak ho povoluje ustanovení prováděcího nařízení č. 480/2014, článek 13 </t>
  </si>
  <si>
    <t>Kombinací prostředků spolufinancujících subjektů a Fondu IROP bude možné dosáhnout na financování 100% způsobilé výše investice</t>
  </si>
  <si>
    <t>Je možné nabízet spolu s nástrojem i dotační složku (avšak jako dvě oddělené operace), odměna za nadstandardní environmentální přínosy</t>
  </si>
  <si>
    <t>Proměnná representuje podíl financování IROP ve financování projektů. Poměrový ukazatel výsledkem dorovnání návrhu na podíl spolufinancujícího subjektu</t>
  </si>
  <si>
    <t>Max roční investice - tempo čerpání prvního cyklu</t>
  </si>
  <si>
    <t>Po vyčerpání původní alokace je do roku 2023 zahájeno poskytování dostupných zdrojů z revolvingem navrácených prostředků</t>
  </si>
  <si>
    <t>Management fee - výkonnostní odměna</t>
  </si>
  <si>
    <t>Celkem k dispozici pro revolving prostředků IROP</t>
  </si>
  <si>
    <t>Tempo absorpce</t>
  </si>
  <si>
    <t>Podíl dotace v alokaci</t>
  </si>
  <si>
    <t>Úvěrové prostředky v alokaci</t>
  </si>
  <si>
    <t>Pro graf…..</t>
  </si>
  <si>
    <t>První cyklus IROP</t>
  </si>
  <si>
    <t>Primární investice z IROP</t>
  </si>
  <si>
    <t>Zůstatek prvního cyklu IROP</t>
  </si>
  <si>
    <t>Druhý cyklus IROP</t>
  </si>
  <si>
    <t>Sekundární investice</t>
  </si>
  <si>
    <t>Zůstatek druhého cyklu IROP</t>
  </si>
  <si>
    <t>Prostředky z revolvingu k reinvestování</t>
  </si>
  <si>
    <t>Diponibilní prostředky IROP - revolving</t>
  </si>
  <si>
    <t>Typový příklad</t>
  </si>
  <si>
    <t>Investice</t>
  </si>
  <si>
    <t>Výnosy/úspora</t>
  </si>
  <si>
    <t>Sazba běžného úvěru</t>
  </si>
  <si>
    <t>Sazba zvýhodněného úvěru</t>
  </si>
  <si>
    <t>Horizont</t>
  </si>
  <si>
    <t>Dotace (50)</t>
  </si>
  <si>
    <t>Dotace (20)</t>
  </si>
  <si>
    <t>Dotace (0)</t>
  </si>
  <si>
    <t>Dotace (40)</t>
  </si>
  <si>
    <t>100 % tržní úvěr</t>
  </si>
  <si>
    <t>DCF 100 trzni</t>
  </si>
  <si>
    <t>DCF 80 20</t>
  </si>
  <si>
    <t>DCF 50 50</t>
  </si>
  <si>
    <t>DCF 100 zvyhodneny</t>
  </si>
  <si>
    <t xml:space="preserve">DCF 40 </t>
  </si>
  <si>
    <t>100 % zvýhodněný úvěr</t>
  </si>
  <si>
    <t>Prostá návratnost (roky)</t>
  </si>
  <si>
    <t>Diskontovaná návratnost (roky)</t>
  </si>
  <si>
    <t>Příjmy</t>
  </si>
  <si>
    <t>Prosté CF</t>
  </si>
  <si>
    <t>Diskontované CF</t>
  </si>
  <si>
    <t>Sekuritizace</t>
  </si>
  <si>
    <t xml:space="preserve">% sekuritizovaných úvěrů </t>
  </si>
  <si>
    <t>Splatnost dluhopisu</t>
  </si>
  <si>
    <t>Diskontní sazba</t>
  </si>
  <si>
    <t>Splatnost sekuritizačního dluhopisu byla nastavena na polovinu splatnosti podkladových úvěrů</t>
  </si>
  <si>
    <t xml:space="preserve">Podíl úvěrů, které budou sekuritizovány. Parametr zvolen tak, aby bylo proinvestováno co nejvíce prostředků. </t>
  </si>
  <si>
    <t>50 % tržní úvěr, 
50 % dotace</t>
  </si>
  <si>
    <t>40% dotace, 
60% zvýhodněný úvěr</t>
  </si>
  <si>
    <t>Modelový příklad SC 2.5 IROP</t>
  </si>
  <si>
    <t>Vnitřní výnosové procento</t>
  </si>
  <si>
    <t>Čístá současná hodnota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</si>
</sst>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č&quot;;[Red]\-#,##0.00\ &quot;Kč&quot;"/>
    <numFmt numFmtId="164" formatCode="mmmm\ d\,\ yyyy"/>
    <numFmt numFmtId="165" formatCode="0.0000000000"/>
    <numFmt numFmtId="166" formatCode="0.0"/>
    <numFmt numFmtId="167" formatCode="0.0%"/>
    <numFmt numFmtId="168" formatCode="#,##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color indexed="9"/>
      <name val="Arial"/>
      <family val="2"/>
    </font>
    <font>
      <b/>
      <sz val="14"/>
      <name val="Arial"/>
      <family val="2"/>
    </font>
    <font>
      <sz val="24"/>
      <color theme="3"/>
      <name val="Times New Roman"/>
      <family val="1"/>
    </font>
    <font>
      <sz val="24"/>
      <color theme="5"/>
      <name val="Times New Roman"/>
      <family val="1"/>
    </font>
    <font>
      <sz val="24"/>
      <color rgb="FF002776"/>
      <name val="Times New Roman"/>
      <family val="1"/>
    </font>
    <font>
      <b/>
      <sz val="10"/>
      <color indexed="8"/>
      <name val="Arial"/>
      <family val="2"/>
    </font>
    <font>
      <sz val="16"/>
      <color rgb="FF00277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7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4" fillId="0" borderId="0" applyNumberFormat="0" applyAlignment="0"/>
    <xf numFmtId="164" fontId="15" fillId="0" borderId="0">
      <alignment horizontal="left"/>
    </xf>
    <xf numFmtId="0" fontId="16" fillId="0" borderId="0"/>
    <xf numFmtId="0" fontId="17" fillId="0" borderId="0"/>
    <xf numFmtId="38" fontId="14" fillId="5" borderId="0" applyNumberFormat="0" applyBorder="0" applyAlignment="0" applyProtection="0"/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NumberFormat="0" applyFill="0" applyBorder="0" applyAlignment="0" applyProtection="0">
      <alignment vertical="top"/>
      <protection locked="0"/>
    </xf>
    <xf numFmtId="10" fontId="14" fillId="6" borderId="3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horizontal="center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21" fillId="7" borderId="0">
      <alignment horizontal="center" vertical="center"/>
    </xf>
    <xf numFmtId="0" fontId="22" fillId="8" borderId="0">
      <alignment horizontal="left" vertical="center"/>
    </xf>
    <xf numFmtId="0" fontId="22" fillId="8" borderId="0">
      <alignment horizontal="center" vertical="center"/>
    </xf>
    <xf numFmtId="0" fontId="22" fillId="8" borderId="0">
      <alignment horizontal="right" vertical="center"/>
    </xf>
    <xf numFmtId="0" fontId="22" fillId="9" borderId="0">
      <alignment horizontal="right" vertical="center"/>
    </xf>
  </cellStyleXfs>
  <cellXfs count="92">
    <xf numFmtId="0" fontId="0" fillId="0" borderId="0" xfId="0"/>
    <xf numFmtId="0" fontId="5" fillId="2" borderId="0" xfId="3" applyFill="1" applyBorder="1"/>
    <xf numFmtId="0" fontId="6" fillId="2" borderId="0" xfId="4" applyFill="1"/>
    <xf numFmtId="0" fontId="7" fillId="2" borderId="0" xfId="3" applyFont="1" applyFill="1" applyBorder="1" applyAlignment="1">
      <alignment horizontal="left" vertical="center" wrapText="1"/>
    </xf>
    <xf numFmtId="0" fontId="5" fillId="2" borderId="0" xfId="5" applyFill="1" applyAlignment="1">
      <alignment vertical="top"/>
    </xf>
    <xf numFmtId="0" fontId="8" fillId="2" borderId="0" xfId="3" applyFont="1" applyFill="1" applyBorder="1" applyAlignment="1">
      <alignment vertical="top"/>
    </xf>
    <xf numFmtId="49" fontId="9" fillId="2" borderId="0" xfId="3" applyNumberFormat="1" applyFont="1" applyFill="1" applyAlignment="1">
      <alignment horizontal="left" wrapText="1"/>
    </xf>
    <xf numFmtId="0" fontId="9" fillId="2" borderId="0" xfId="3" applyFont="1" applyFill="1" applyAlignment="1">
      <alignment horizontal="left"/>
    </xf>
    <xf numFmtId="0" fontId="12" fillId="2" borderId="0" xfId="3" applyFont="1" applyFill="1"/>
    <xf numFmtId="49" fontId="5" fillId="2" borderId="0" xfId="3" applyNumberFormat="1" applyFont="1" applyFill="1" applyBorder="1"/>
    <xf numFmtId="0" fontId="4" fillId="11" borderId="0" xfId="2" applyFont="1" applyFill="1" applyProtection="1">
      <protection hidden="1"/>
    </xf>
    <xf numFmtId="3" fontId="4" fillId="11" borderId="0" xfId="0" applyNumberFormat="1" applyFont="1" applyFill="1" applyProtection="1">
      <protection hidden="1"/>
    </xf>
    <xf numFmtId="0" fontId="4" fillId="11" borderId="0" xfId="0" applyFont="1" applyFill="1" applyProtection="1">
      <protection hidden="1"/>
    </xf>
    <xf numFmtId="0" fontId="3" fillId="11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3" fillId="11" borderId="0" xfId="2" applyFont="1" applyFill="1" applyProtection="1">
      <protection hidden="1"/>
    </xf>
    <xf numFmtId="3" fontId="3" fillId="11" borderId="0" xfId="0" applyNumberFormat="1" applyFont="1" applyFill="1" applyProtection="1">
      <protection hidden="1"/>
    </xf>
    <xf numFmtId="8" fontId="3" fillId="11" borderId="0" xfId="0" applyNumberFormat="1" applyFont="1" applyFill="1" applyProtection="1">
      <protection hidden="1"/>
    </xf>
    <xf numFmtId="9" fontId="3" fillId="10" borderId="0" xfId="1" applyFont="1" applyFill="1" applyProtection="1">
      <protection locked="0" hidden="1"/>
    </xf>
    <xf numFmtId="9" fontId="3" fillId="11" borderId="0" xfId="0" applyNumberFormat="1" applyFont="1" applyFill="1" applyProtection="1">
      <protection hidden="1"/>
    </xf>
    <xf numFmtId="9" fontId="3" fillId="11" borderId="0" xfId="1" applyFont="1" applyFill="1" applyProtection="1">
      <protection hidden="1"/>
    </xf>
    <xf numFmtId="3" fontId="4" fillId="10" borderId="0" xfId="0" applyNumberFormat="1" applyFont="1" applyFill="1" applyProtection="1">
      <protection locked="0" hidden="1"/>
    </xf>
    <xf numFmtId="10" fontId="3" fillId="10" borderId="0" xfId="1" applyNumberFormat="1" applyFont="1" applyFill="1" applyProtection="1">
      <protection locked="0" hidden="1"/>
    </xf>
    <xf numFmtId="10" fontId="4" fillId="10" borderId="0" xfId="1" applyNumberFormat="1" applyFont="1" applyFill="1" applyProtection="1">
      <protection locked="0" hidden="1"/>
    </xf>
    <xf numFmtId="10" fontId="3" fillId="11" borderId="0" xfId="1" applyNumberFormat="1" applyFont="1" applyFill="1" applyProtection="1">
      <protection hidden="1"/>
    </xf>
    <xf numFmtId="10" fontId="3" fillId="10" borderId="0" xfId="0" applyNumberFormat="1" applyFont="1" applyFill="1" applyProtection="1">
      <protection locked="0" hidden="1"/>
    </xf>
    <xf numFmtId="9" fontId="3" fillId="10" borderId="0" xfId="0" applyNumberFormat="1" applyFont="1" applyFill="1" applyProtection="1">
      <protection locked="0" hidden="1"/>
    </xf>
    <xf numFmtId="0" fontId="24" fillId="14" borderId="0" xfId="2" applyFont="1" applyFill="1" applyProtection="1">
      <protection hidden="1"/>
    </xf>
    <xf numFmtId="0" fontId="3" fillId="14" borderId="0" xfId="0" applyFont="1" applyFill="1" applyProtection="1">
      <protection hidden="1"/>
    </xf>
    <xf numFmtId="0" fontId="23" fillId="0" borderId="0" xfId="2" applyFont="1" applyProtection="1">
      <protection hidden="1"/>
    </xf>
    <xf numFmtId="0" fontId="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2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2" borderId="0" xfId="2" applyFont="1" applyFill="1" applyProtection="1">
      <protection hidden="1"/>
    </xf>
    <xf numFmtId="3" fontId="3" fillId="0" borderId="0" xfId="0" applyNumberFormat="1" applyFont="1" applyProtection="1">
      <protection hidden="1"/>
    </xf>
    <xf numFmtId="0" fontId="4" fillId="2" borderId="0" xfId="2" applyFont="1" applyFill="1" applyProtection="1">
      <protection hidden="1"/>
    </xf>
    <xf numFmtId="3" fontId="4" fillId="0" borderId="0" xfId="0" applyNumberFormat="1" applyFont="1" applyProtection="1">
      <protection hidden="1"/>
    </xf>
    <xf numFmtId="166" fontId="3" fillId="0" borderId="0" xfId="0" applyNumberFormat="1" applyFont="1" applyProtection="1">
      <protection hidden="1"/>
    </xf>
    <xf numFmtId="0" fontId="3" fillId="0" borderId="0" xfId="0" applyFont="1" applyFill="1" applyProtection="1">
      <protection hidden="1"/>
    </xf>
    <xf numFmtId="2" fontId="3" fillId="0" borderId="0" xfId="0" applyNumberFormat="1" applyFont="1" applyProtection="1">
      <protection hidden="1"/>
    </xf>
    <xf numFmtId="2" fontId="3" fillId="2" borderId="0" xfId="2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4" fillId="13" borderId="0" xfId="2" applyFont="1" applyFill="1" applyProtection="1">
      <protection hidden="1"/>
    </xf>
    <xf numFmtId="3" fontId="4" fillId="13" borderId="0" xfId="0" applyNumberFormat="1" applyFont="1" applyFill="1" applyProtection="1">
      <protection hidden="1"/>
    </xf>
    <xf numFmtId="0" fontId="4" fillId="13" borderId="0" xfId="0" applyFont="1" applyFill="1" applyProtection="1">
      <protection hidden="1"/>
    </xf>
    <xf numFmtId="4" fontId="3" fillId="0" borderId="0" xfId="0" applyNumberFormat="1" applyFont="1" applyProtection="1">
      <protection hidden="1"/>
    </xf>
    <xf numFmtId="0" fontId="4" fillId="12" borderId="0" xfId="2" applyFont="1" applyFill="1" applyProtection="1">
      <protection hidden="1"/>
    </xf>
    <xf numFmtId="167" fontId="4" fillId="13" borderId="0" xfId="1" applyNumberFormat="1" applyFont="1" applyFill="1" applyProtection="1">
      <protection hidden="1"/>
    </xf>
    <xf numFmtId="9" fontId="3" fillId="0" borderId="0" xfId="1" applyFont="1" applyProtection="1">
      <protection hidden="1"/>
    </xf>
    <xf numFmtId="1" fontId="3" fillId="0" borderId="0" xfId="0" applyNumberFormat="1" applyFont="1" applyProtection="1">
      <protection hidden="1"/>
    </xf>
    <xf numFmtId="10" fontId="3" fillId="0" borderId="0" xfId="1" applyNumberFormat="1" applyFo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3" fillId="16" borderId="6" xfId="0" applyFont="1" applyFill="1" applyBorder="1" applyProtection="1">
      <protection hidden="1"/>
    </xf>
    <xf numFmtId="0" fontId="3" fillId="16" borderId="9" xfId="0" applyFont="1" applyFill="1" applyBorder="1" applyProtection="1">
      <protection hidden="1"/>
    </xf>
    <xf numFmtId="0" fontId="25" fillId="0" borderId="0" xfId="0" applyFont="1"/>
    <xf numFmtId="0" fontId="25" fillId="16" borderId="4" xfId="0" applyFont="1" applyFill="1" applyBorder="1"/>
    <xf numFmtId="168" fontId="25" fillId="16" borderId="5" xfId="0" applyNumberFormat="1" applyFont="1" applyFill="1" applyBorder="1"/>
    <xf numFmtId="0" fontId="25" fillId="16" borderId="7" xfId="0" applyFont="1" applyFill="1" applyBorder="1"/>
    <xf numFmtId="168" fontId="25" fillId="16" borderId="8" xfId="0" applyNumberFormat="1" applyFont="1" applyFill="1" applyBorder="1"/>
    <xf numFmtId="0" fontId="27" fillId="0" borderId="10" xfId="0" applyFont="1" applyBorder="1"/>
    <xf numFmtId="0" fontId="25" fillId="0" borderId="11" xfId="0" applyFont="1" applyBorder="1"/>
    <xf numFmtId="0" fontId="25" fillId="0" borderId="7" xfId="0" applyFont="1" applyBorder="1"/>
    <xf numFmtId="0" fontId="3" fillId="0" borderId="0" xfId="0" applyFont="1" applyAlignment="1" applyProtection="1">
      <alignment horizontal="left"/>
      <protection hidden="1"/>
    </xf>
    <xf numFmtId="9" fontId="3" fillId="11" borderId="0" xfId="0" applyNumberFormat="1" applyFont="1" applyFill="1" applyProtection="1">
      <protection locked="0" hidden="1"/>
    </xf>
    <xf numFmtId="3" fontId="3" fillId="11" borderId="0" xfId="0" applyNumberFormat="1" applyFont="1" applyFill="1" applyProtection="1">
      <protection locked="0" hidden="1"/>
    </xf>
    <xf numFmtId="10" fontId="3" fillId="11" borderId="0" xfId="0" applyNumberFormat="1" applyFont="1" applyFill="1" applyProtection="1">
      <protection locked="0" hidden="1"/>
    </xf>
    <xf numFmtId="0" fontId="26" fillId="0" borderId="3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" xfId="0" applyFont="1" applyBorder="1" applyAlignment="1" applyProtection="1">
      <alignment horizontal="left" vertical="center" wrapText="1"/>
      <protection hidden="1"/>
    </xf>
    <xf numFmtId="10" fontId="25" fillId="0" borderId="12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5" fillId="0" borderId="7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49" fontId="9" fillId="2" borderId="0" xfId="3" applyNumberFormat="1" applyFont="1" applyFill="1" applyAlignment="1">
      <alignment horizontal="left" wrapText="1"/>
    </xf>
    <xf numFmtId="0" fontId="9" fillId="2" borderId="0" xfId="3" applyFont="1" applyFill="1" applyAlignment="1">
      <alignment horizontal="left"/>
    </xf>
    <xf numFmtId="49" fontId="10" fillId="2" borderId="0" xfId="3" applyNumberFormat="1" applyFont="1" applyFill="1" applyAlignment="1">
      <alignment horizontal="left" wrapText="1"/>
    </xf>
    <xf numFmtId="49" fontId="11" fillId="2" borderId="0" xfId="3" applyNumberFormat="1" applyFont="1" applyFill="1" applyAlignment="1">
      <alignment horizontal="left" wrapText="1"/>
    </xf>
    <xf numFmtId="0" fontId="11" fillId="2" borderId="0" xfId="3" applyFont="1" applyFill="1" applyAlignment="1">
      <alignment horizontal="left"/>
    </xf>
    <xf numFmtId="0" fontId="13" fillId="2" borderId="0" xfId="3" applyFont="1" applyFill="1" applyAlignment="1">
      <alignment horizontal="left" wrapText="1"/>
    </xf>
    <xf numFmtId="14" fontId="13" fillId="2" borderId="0" xfId="3" applyNumberFormat="1" applyFont="1" applyFill="1" applyAlignment="1">
      <alignment horizontal="left" wrapText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2" fontId="4" fillId="12" borderId="0" xfId="0" applyNumberFormat="1" applyFont="1" applyFill="1" applyAlignment="1" applyProtection="1">
      <alignment horizontal="center"/>
      <protection hidden="1"/>
    </xf>
    <xf numFmtId="0" fontId="3" fillId="15" borderId="0" xfId="0" applyFont="1" applyFill="1" applyAlignment="1" applyProtection="1">
      <alignment horizontal="center"/>
      <protection hidden="1"/>
    </xf>
    <xf numFmtId="0" fontId="26" fillId="16" borderId="4" xfId="0" applyFont="1" applyFill="1" applyBorder="1" applyAlignment="1">
      <alignment horizontal="center" vertical="center"/>
    </xf>
    <xf numFmtId="0" fontId="26" fillId="16" borderId="5" xfId="0" applyFont="1" applyFill="1" applyBorder="1" applyAlignment="1">
      <alignment horizontal="center" vertical="center"/>
    </xf>
    <xf numFmtId="0" fontId="26" fillId="16" borderId="7" xfId="0" applyFont="1" applyFill="1" applyBorder="1" applyAlignment="1">
      <alignment horizontal="center" vertical="center"/>
    </xf>
    <xf numFmtId="0" fontId="26" fillId="16" borderId="8" xfId="0" applyFont="1" applyFill="1" applyBorder="1" applyAlignment="1">
      <alignment horizontal="center" vertical="center"/>
    </xf>
  </cellXfs>
  <cellStyles count="51">
    <cellStyle name="%" xfId="6"/>
    <cellStyle name="active" xfId="7"/>
    <cellStyle name="date" xfId="8"/>
    <cellStyle name="Excel Built-in Normal 1" xfId="9"/>
    <cellStyle name="Excel Built-in Normal 2" xfId="10"/>
    <cellStyle name="Grey" xfId="11"/>
    <cellStyle name="Header1" xfId="12"/>
    <cellStyle name="Header2" xfId="13"/>
    <cellStyle name="Hyperlink 2" xfId="14"/>
    <cellStyle name="Input [yellow]" xfId="15"/>
    <cellStyle name="Normal - Style1" xfId="16"/>
    <cellStyle name="Normal - Style1 2" xfId="17"/>
    <cellStyle name="Normal - Style1 3" xfId="18"/>
    <cellStyle name="Normal - Style1 4" xfId="19"/>
    <cellStyle name="Normal - Style1 5" xfId="20"/>
    <cellStyle name="Normal - Style1 6" xfId="21"/>
    <cellStyle name="Normal - Style1 7" xfId="22"/>
    <cellStyle name="Normal - Style1 8" xfId="23"/>
    <cellStyle name="Normal - Style1 9" xfId="24"/>
    <cellStyle name="Normal 10" xfId="25"/>
    <cellStyle name="Normal 2" xfId="2"/>
    <cellStyle name="Normal 2 2" xfId="3"/>
    <cellStyle name="Normal 2_ProjectAssumptionsRegister_RSTReviewed" xfId="26"/>
    <cellStyle name="Normal 3" xfId="27"/>
    <cellStyle name="Normal 3 2" xfId="28"/>
    <cellStyle name="Normal 3 3" xfId="29"/>
    <cellStyle name="Normal 3 4" xfId="30"/>
    <cellStyle name="Normal 3 4 2" xfId="4"/>
    <cellStyle name="Normal 4" xfId="31"/>
    <cellStyle name="Normal 4 2" xfId="32"/>
    <cellStyle name="Normal 4 3" xfId="33"/>
    <cellStyle name="Normal 5" xfId="34"/>
    <cellStyle name="Normal_SHEET 2" xfId="5"/>
    <cellStyle name="Normální" xfId="0" builtinId="0"/>
    <cellStyle name="nr_label" xfId="35"/>
    <cellStyle name="Percent [2]" xfId="36"/>
    <cellStyle name="Percent [2] 2" xfId="37"/>
    <cellStyle name="Percent [2] 3" xfId="38"/>
    <cellStyle name="Percent [2] 4" xfId="39"/>
    <cellStyle name="Percent [2] 5" xfId="40"/>
    <cellStyle name="Percent [2] 6" xfId="41"/>
    <cellStyle name="Percent [2] 7" xfId="42"/>
    <cellStyle name="Percent [2] 8" xfId="43"/>
    <cellStyle name="Percent [2] 9" xfId="44"/>
    <cellStyle name="Procenta" xfId="1" builtinId="5"/>
    <cellStyle name="PSChar" xfId="45"/>
    <cellStyle name="S19_globalCache" xfId="46"/>
    <cellStyle name="S2_globalCache" xfId="47"/>
    <cellStyle name="S20_globalCache" xfId="48"/>
    <cellStyle name="S22_globalCache" xfId="49"/>
    <cellStyle name="S26_globalCache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Revolving prostředků</a:t>
            </a:r>
            <a:r>
              <a:rPr lang="cs-CZ" b="1" baseline="0"/>
              <a:t> SC 2.5 IROP (mil. Kč)</a:t>
            </a:r>
            <a:endParaRPr lang="cs-CZ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'Model multiplikace'!$A$99:$D$99</c:f>
              <c:strCache>
                <c:ptCount val="1"/>
                <c:pt idx="0">
                  <c:v>První cyklus IROP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'Model multiplikace'!$E$98:$AF$98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'Model multiplikace'!$E$99:$AF$99</c:f>
              <c:numCache>
                <c:formatCode>#,##0</c:formatCode>
                <c:ptCount val="28"/>
                <c:pt idx="0">
                  <c:v>16800</c:v>
                </c:pt>
                <c:pt idx="1">
                  <c:v>13440</c:v>
                </c:pt>
                <c:pt idx="2">
                  <c:v>10080</c:v>
                </c:pt>
                <c:pt idx="3">
                  <c:v>6720</c:v>
                </c:pt>
                <c:pt idx="4">
                  <c:v>3359.9999999999995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'Model multiplikace'!$A$100:$D$100</c:f>
              <c:strCache>
                <c:ptCount val="1"/>
                <c:pt idx="0">
                  <c:v>Prostředky z revolvingu k reinvestování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'Model multiplikace'!$E$98:$AF$98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'Model multiplikace'!$E$100:$AF$100</c:f>
              <c:numCache>
                <c:formatCode>General</c:formatCode>
                <c:ptCount val="28"/>
                <c:pt idx="5" formatCode="#,##0">
                  <c:v>3985.6266059719328</c:v>
                </c:pt>
                <c:pt idx="6" formatCode="#,##0">
                  <c:v>1761.9564596965818</c:v>
                </c:pt>
                <c:pt idx="7" formatCode="#,##0">
                  <c:v>905.90879299365793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5296"/>
        <c:axId val="85816832"/>
      </c:barChart>
      <c:lineChart>
        <c:grouping val="standard"/>
        <c:varyColors val="0"/>
        <c:ser>
          <c:idx val="2"/>
          <c:order val="2"/>
          <c:tx>
            <c:strRef>
              <c:f>'Model multiplikace'!$A$101:$D$101</c:f>
              <c:strCache>
                <c:ptCount val="1"/>
                <c:pt idx="0">
                  <c:v>Diponibilní prostředky IROP - revolving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'Model multiplikace'!$E$98:$AF$98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'Model multiplikace'!$E$101:$AF$101</c:f>
              <c:numCache>
                <c:formatCode>#,##0</c:formatCode>
                <c:ptCount val="28"/>
                <c:pt idx="0">
                  <c:v>0</c:v>
                </c:pt>
                <c:pt idx="1">
                  <c:v>145.30567253820678</c:v>
                </c:pt>
                <c:pt idx="2">
                  <c:v>438.09660270269342</c:v>
                </c:pt>
                <c:pt idx="3">
                  <c:v>880.5850693578542</c:v>
                </c:pt>
                <c:pt idx="4">
                  <c:v>1475.0165355510489</c:v>
                </c:pt>
                <c:pt idx="5">
                  <c:v>2223.6701462753485</c:v>
                </c:pt>
                <c:pt idx="6">
                  <c:v>856.04766670292383</c:v>
                </c:pt>
                <c:pt idx="7">
                  <c:v>905.90879299365542</c:v>
                </c:pt>
                <c:pt idx="8">
                  <c:v>958.67411727672038</c:v>
                </c:pt>
                <c:pt idx="9">
                  <c:v>1931.7283463125918</c:v>
                </c:pt>
                <c:pt idx="10">
                  <c:v>2919.3783887840009</c:v>
                </c:pt>
                <c:pt idx="11">
                  <c:v>3921.8431818924814</c:v>
                </c:pt>
                <c:pt idx="12">
                  <c:v>4939.3449468975887</c:v>
                </c:pt>
                <c:pt idx="13">
                  <c:v>5972.1092383777732</c:v>
                </c:pt>
                <c:pt idx="14">
                  <c:v>7020.3649942301599</c:v>
                </c:pt>
                <c:pt idx="15">
                  <c:v>8084.3445864203331</c:v>
                </c:pt>
                <c:pt idx="16">
                  <c:v>9164.283872493359</c:v>
                </c:pt>
                <c:pt idx="17">
                  <c:v>10260.422247857479</c:v>
                </c:pt>
                <c:pt idx="18">
                  <c:v>11373.002698852062</c:v>
                </c:pt>
                <c:pt idx="19">
                  <c:v>12502.271856611564</c:v>
                </c:pt>
                <c:pt idx="20">
                  <c:v>13648.480051737457</c:v>
                </c:pt>
                <c:pt idx="21">
                  <c:v>14616.175697252032</c:v>
                </c:pt>
                <c:pt idx="22">
                  <c:v>15402.68110491112</c:v>
                </c:pt>
                <c:pt idx="23">
                  <c:v>16005.278421146888</c:v>
                </c:pt>
                <c:pt idx="24">
                  <c:v>16421.209024587984</c:v>
                </c:pt>
                <c:pt idx="25">
                  <c:v>16647.672914542491</c:v>
                </c:pt>
                <c:pt idx="26">
                  <c:v>16748.014458834426</c:v>
                </c:pt>
                <c:pt idx="27">
                  <c:v>16800.000000000007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5296"/>
        <c:axId val="85816832"/>
      </c:lineChart>
      <c:catAx>
        <c:axId val="858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816832"/>
        <c:crosses val="autoZero"/>
        <c:auto val="1"/>
        <c:lblAlgn val="ctr"/>
        <c:lblOffset val="100"/>
        <c:noMultiLvlLbl val="0"/>
      </c:catAx>
      <c:valAx>
        <c:axId val="858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81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Revolving prostředků SC 2.5 IROP (mil. Kč)</a:t>
            </a:r>
            <a:br>
              <a:rPr lang="cs-CZ" b="1"/>
            </a:br>
            <a:r>
              <a:rPr lang="cs-CZ" b="1"/>
              <a:t> - se sekuritizací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Sekuritizace!$A$102:$D$102</c:f>
              <c:strCache>
                <c:ptCount val="1"/>
                <c:pt idx="0">
                  <c:v>První cyklus IROP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Sekuritizace!$E$101:$AF$101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Sekuritizace!$E$102:$AF$102</c:f>
              <c:numCache>
                <c:formatCode>#,##0</c:formatCode>
                <c:ptCount val="28"/>
                <c:pt idx="0">
                  <c:v>16800</c:v>
                </c:pt>
                <c:pt idx="1">
                  <c:v>13440</c:v>
                </c:pt>
                <c:pt idx="2">
                  <c:v>10080</c:v>
                </c:pt>
                <c:pt idx="3">
                  <c:v>6720</c:v>
                </c:pt>
                <c:pt idx="4">
                  <c:v>3359.9999999999995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Sekuritizace!$A$103:$D$103</c:f>
              <c:strCache>
                <c:ptCount val="1"/>
                <c:pt idx="0">
                  <c:v>Prostředky z revolvingu k reinvestování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Sekuritizace!$E$101:$AF$101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Sekuritizace!$E$103:$AF$103</c:f>
              <c:numCache>
                <c:formatCode>General</c:formatCode>
                <c:ptCount val="28"/>
                <c:pt idx="5" formatCode="#,##0">
                  <c:v>10080.000000000002</c:v>
                </c:pt>
                <c:pt idx="6" formatCode="#,##0">
                  <c:v>6720.0000000000009</c:v>
                </c:pt>
                <c:pt idx="7" formatCode="#,##0">
                  <c:v>3360.0000000000005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0864"/>
        <c:axId val="81942400"/>
      </c:barChart>
      <c:lineChart>
        <c:grouping val="standard"/>
        <c:varyColors val="0"/>
        <c:ser>
          <c:idx val="2"/>
          <c:order val="2"/>
          <c:tx>
            <c:strRef>
              <c:f>Sekuritizace!$A$104:$D$104</c:f>
              <c:strCache>
                <c:ptCount val="1"/>
                <c:pt idx="0">
                  <c:v>Diponibilní prostředky IROP - revolving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Sekuritizace!$E$101:$AF$101</c:f>
              <c:numCache>
                <c:formatCode>General</c:formatCode>
                <c:ptCount val="2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</c:numCache>
            </c:numRef>
          </c:cat>
          <c:val>
            <c:numRef>
              <c:f>Sekuritizace!$E$104:$AF$104</c:f>
              <c:numCache>
                <c:formatCode>#,##0</c:formatCode>
                <c:ptCount val="28"/>
                <c:pt idx="0">
                  <c:v>0</c:v>
                </c:pt>
                <c:pt idx="1">
                  <c:v>145.30567253820678</c:v>
                </c:pt>
                <c:pt idx="2">
                  <c:v>438.09660270269342</c:v>
                </c:pt>
                <c:pt idx="3">
                  <c:v>880.5850693578542</c:v>
                </c:pt>
                <c:pt idx="4">
                  <c:v>1475.0165355510489</c:v>
                </c:pt>
                <c:pt idx="5">
                  <c:v>8487.6916059037267</c:v>
                </c:pt>
                <c:pt idx="6">
                  <c:v>6032.8806933270971</c:v>
                </c:pt>
                <c:pt idx="7">
                  <c:v>3736.9532896000246</c:v>
                </c:pt>
                <c:pt idx="8">
                  <c:v>1602.2926473552529</c:v>
                </c:pt>
                <c:pt idx="9">
                  <c:v>2846.0120954768099</c:v>
                </c:pt>
                <c:pt idx="10">
                  <c:v>4108.3873353201907</c:v>
                </c:pt>
                <c:pt idx="11">
                  <c:v>5389.6982037612215</c:v>
                </c:pt>
                <c:pt idx="12">
                  <c:v>6690.2287352288686</c:v>
                </c:pt>
                <c:pt idx="13">
                  <c:v>8010.2672246685306</c:v>
                </c:pt>
                <c:pt idx="14">
                  <c:v>9350.106291449787</c:v>
                </c:pt>
                <c:pt idx="15">
                  <c:v>4446.0214846043837</c:v>
                </c:pt>
                <c:pt idx="16">
                  <c:v>5826.3571871791037</c:v>
                </c:pt>
                <c:pt idx="17">
                  <c:v>7227.3979252924446</c:v>
                </c:pt>
                <c:pt idx="18">
                  <c:v>8649.4542744774844</c:v>
                </c:pt>
                <c:pt idx="19">
                  <c:v>10092.8414689003</c:v>
                </c:pt>
                <c:pt idx="20">
                  <c:v>11557.879471239459</c:v>
                </c:pt>
                <c:pt idx="21">
                  <c:v>12849.187371075499</c:v>
                </c:pt>
                <c:pt idx="22">
                  <c:v>13964.159216870872</c:v>
                </c:pt>
                <c:pt idx="23">
                  <c:v>14900.149967814968</c:v>
                </c:pt>
                <c:pt idx="24">
                  <c:v>15654.474907485021</c:v>
                </c:pt>
                <c:pt idx="25">
                  <c:v>16224.409048711916</c:v>
                </c:pt>
                <c:pt idx="26">
                  <c:v>16607.186529519007</c:v>
                </c:pt>
                <c:pt idx="27">
                  <c:v>16800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0864"/>
        <c:axId val="81942400"/>
      </c:lineChart>
      <c:catAx>
        <c:axId val="819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1942400"/>
        <c:crosses val="autoZero"/>
        <c:auto val="1"/>
        <c:lblAlgn val="ctr"/>
        <c:lblOffset val="100"/>
        <c:noMultiLvlLbl val="0"/>
      </c:catAx>
      <c:valAx>
        <c:axId val="819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1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24</xdr:row>
      <xdr:rowOff>133350</xdr:rowOff>
    </xdr:from>
    <xdr:to>
      <xdr:col>9</xdr:col>
      <xdr:colOff>142875</xdr:colOff>
      <xdr:row>26</xdr:row>
      <xdr:rowOff>142875</xdr:rowOff>
    </xdr:to>
    <xdr:pic>
      <xdr:nvPicPr>
        <xdr:cNvPr id="2" name="Picture 1" descr="Deloitte_no_background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075" y="6600825"/>
          <a:ext cx="1981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6</xdr:col>
      <xdr:colOff>650875</xdr:colOff>
      <xdr:row>12</xdr:row>
      <xdr:rowOff>194945</xdr:rowOff>
    </xdr:to>
    <xdr:pic>
      <xdr:nvPicPr>
        <xdr:cNvPr id="4" name="Obrázek 3" descr="\\nt1\O\Loga 2014_2020\IROP\Logolinky\RGB\JPG\IROP_CZ_RO_B_C RGB_malý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76275"/>
          <a:ext cx="5270500" cy="871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102</xdr:row>
      <xdr:rowOff>71437</xdr:rowOff>
    </xdr:from>
    <xdr:to>
      <xdr:col>7</xdr:col>
      <xdr:colOff>590550</xdr:colOff>
      <xdr:row>120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105</xdr:row>
      <xdr:rowOff>80961</xdr:rowOff>
    </xdr:from>
    <xdr:to>
      <xdr:col>7</xdr:col>
      <xdr:colOff>323850</xdr:colOff>
      <xdr:row>125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eloitte">
      <a:dk1>
        <a:sysClr val="windowText" lastClr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72C7E7"/>
      </a:accent4>
      <a:accent5>
        <a:srgbClr val="3C8A2E"/>
      </a:accent5>
      <a:accent6>
        <a:srgbClr val="C9DD03"/>
      </a:accent6>
      <a:hlink>
        <a:srgbClr val="3C8A2E"/>
      </a:hlink>
      <a:folHlink>
        <a:srgbClr val="C9DD0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35"/>
  <sheetViews>
    <sheetView tabSelected="1" zoomScaleNormal="100" workbookViewId="0">
      <selection activeCell="B5" sqref="B5"/>
    </sheetView>
  </sheetViews>
  <sheetFormatPr defaultColWidth="10.28515625" defaultRowHeight="12.75" x14ac:dyDescent="0.2"/>
  <cols>
    <col min="1" max="1" width="10.28515625" style="2"/>
    <col min="2" max="8" width="13.85546875" style="2" customWidth="1"/>
    <col min="9" max="9" width="20.7109375" style="2" customWidth="1"/>
    <col min="10" max="16384" width="10.28515625" style="2"/>
  </cols>
  <sheetData>
    <row r="1" spans="1:9" x14ac:dyDescent="0.2">
      <c r="A1" s="1" t="s">
        <v>15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5" x14ac:dyDescent="0.25">
      <c r="A4" s="1"/>
      <c r="B4" s="1"/>
      <c r="C4" s="1"/>
      <c r="D4"/>
      <c r="E4" s="1"/>
      <c r="F4" s="1"/>
      <c r="G4" s="1"/>
      <c r="H4" s="1"/>
      <c r="I4" s="1"/>
    </row>
    <row r="5" spans="1:9" ht="18" x14ac:dyDescent="0.2">
      <c r="A5" s="3"/>
      <c r="B5" s="3"/>
      <c r="C5" s="3"/>
      <c r="D5" s="3"/>
      <c r="E5" s="3"/>
      <c r="F5" s="3"/>
      <c r="G5" s="4"/>
      <c r="H5" s="5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9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idden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idden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idden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idden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0.75" customHeight="1" x14ac:dyDescent="0.45">
      <c r="A13" s="1"/>
      <c r="B13" s="77" t="s">
        <v>16</v>
      </c>
      <c r="C13" s="78"/>
      <c r="D13" s="78"/>
      <c r="E13" s="78"/>
      <c r="F13" s="78"/>
      <c r="G13" s="78"/>
      <c r="H13" s="78"/>
      <c r="I13" s="78"/>
    </row>
    <row r="14" spans="1:9" ht="28.5" customHeight="1" x14ac:dyDescent="0.45">
      <c r="A14" s="1"/>
      <c r="B14" s="6"/>
      <c r="C14" s="7"/>
      <c r="D14" s="7"/>
      <c r="E14" s="7"/>
      <c r="F14" s="7"/>
      <c r="G14" s="7"/>
      <c r="H14" s="7"/>
      <c r="I14" s="7"/>
    </row>
    <row r="15" spans="1:9" ht="28.5" customHeight="1" x14ac:dyDescent="0.45">
      <c r="A15" s="1"/>
      <c r="B15" s="79" t="s">
        <v>17</v>
      </c>
      <c r="C15" s="79"/>
      <c r="D15" s="79"/>
      <c r="E15" s="79"/>
      <c r="F15" s="79"/>
      <c r="G15" s="79"/>
      <c r="H15" s="79"/>
      <c r="I15" s="79"/>
    </row>
    <row r="16" spans="1:9" ht="33" customHeight="1" x14ac:dyDescent="0.2">
      <c r="A16" s="1"/>
    </row>
    <row r="17" spans="1:9" ht="60" customHeight="1" x14ac:dyDescent="0.45">
      <c r="A17" s="1"/>
      <c r="B17" s="80" t="s">
        <v>36</v>
      </c>
      <c r="C17" s="81"/>
      <c r="D17" s="81"/>
      <c r="E17" s="81"/>
      <c r="F17" s="81"/>
      <c r="G17" s="81"/>
      <c r="H17" s="81"/>
      <c r="I17" s="81"/>
    </row>
    <row r="18" spans="1:9" x14ac:dyDescent="0.2">
      <c r="A18" s="1"/>
      <c r="B18" s="8"/>
      <c r="C18" s="9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4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20.25" x14ac:dyDescent="0.3">
      <c r="A22" s="1"/>
      <c r="B22" s="82"/>
      <c r="C22" s="82"/>
      <c r="D22" s="82"/>
      <c r="E22" s="82"/>
      <c r="F22" s="82"/>
      <c r="G22" s="82"/>
      <c r="H22" s="82"/>
      <c r="I22" s="1"/>
    </row>
    <row r="23" spans="1:9" x14ac:dyDescent="0.2">
      <c r="A23" s="1"/>
      <c r="I23" s="1"/>
    </row>
    <row r="24" spans="1:9" ht="20.25" x14ac:dyDescent="0.3">
      <c r="A24" s="1"/>
      <c r="B24" s="83"/>
      <c r="C24" s="82"/>
      <c r="D24" s="82"/>
      <c r="E24" s="82"/>
      <c r="F24" s="82"/>
      <c r="G24" s="82"/>
      <c r="H24" s="82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</sheetData>
  <mergeCells count="5">
    <mergeCell ref="B13:I13"/>
    <mergeCell ref="B15:I15"/>
    <mergeCell ref="B17:I17"/>
    <mergeCell ref="B22:H22"/>
    <mergeCell ref="B24:H24"/>
  </mergeCells>
  <pageMargins left="0.7" right="0.7" top="0.75" bottom="0.75" header="0.3" footer="0.3"/>
  <pageSetup paperSize="9" scale="6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AI130"/>
  <sheetViews>
    <sheetView zoomScaleNormal="100" workbookViewId="0">
      <pane xSplit="1" topLeftCell="B1" activePane="topRight" state="frozen"/>
      <selection pane="topRight"/>
    </sheetView>
  </sheetViews>
  <sheetFormatPr defaultRowHeight="12" outlineLevelRow="1" x14ac:dyDescent="0.2"/>
  <cols>
    <col min="1" max="1" width="45.5703125" style="14" customWidth="1"/>
    <col min="2" max="2" width="9.5703125" style="14" bestFit="1" customWidth="1"/>
    <col min="3" max="3" width="12" style="14" customWidth="1"/>
    <col min="4" max="4" width="13.140625" style="14" customWidth="1"/>
    <col min="5" max="5" width="12.140625" style="14" customWidth="1"/>
    <col min="6" max="6" width="9.140625" style="14" customWidth="1"/>
    <col min="7" max="7" width="9.140625" style="14"/>
    <col min="8" max="8" width="10.42578125" style="14" bestFit="1" customWidth="1"/>
    <col min="9" max="9" width="10.5703125" style="14" bestFit="1" customWidth="1"/>
    <col min="10" max="13" width="9.140625" style="14"/>
    <col min="14" max="14" width="9.140625" style="14" customWidth="1"/>
    <col min="15" max="16384" width="9.140625" style="14"/>
  </cols>
  <sheetData>
    <row r="2" spans="1:17" x14ac:dyDescent="0.2">
      <c r="A2" s="10" t="s">
        <v>21</v>
      </c>
      <c r="B2" s="11">
        <f>B11+B12</f>
        <v>30799.999999999996</v>
      </c>
      <c r="C2" s="12" t="s">
        <v>18</v>
      </c>
      <c r="D2" s="13" t="s">
        <v>23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">
      <c r="A3" s="15" t="s">
        <v>3</v>
      </c>
      <c r="B3" s="16">
        <f>B2*B4</f>
        <v>0</v>
      </c>
      <c r="C3" s="13" t="s">
        <v>18</v>
      </c>
      <c r="D3" s="13" t="s">
        <v>19</v>
      </c>
      <c r="E3" s="13"/>
      <c r="F3" s="13"/>
      <c r="G3" s="13"/>
      <c r="H3" s="17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">
      <c r="A4" s="13" t="s">
        <v>4</v>
      </c>
      <c r="B4" s="18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">
      <c r="A5" s="15" t="s">
        <v>22</v>
      </c>
      <c r="B5" s="19">
        <f>1-B4</f>
        <v>1</v>
      </c>
      <c r="C5" s="13"/>
      <c r="D5" s="13" t="s">
        <v>65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">
      <c r="A6" s="13" t="s">
        <v>73</v>
      </c>
      <c r="B6" s="18">
        <v>0</v>
      </c>
      <c r="C6" s="13"/>
      <c r="D6" s="13" t="s">
        <v>66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15" t="s">
        <v>2</v>
      </c>
      <c r="B7" s="13">
        <f>B11*B6</f>
        <v>0</v>
      </c>
      <c r="C7" s="13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">
      <c r="A8" s="15" t="s">
        <v>54</v>
      </c>
      <c r="B8" s="20">
        <f>B7/B2</f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">
      <c r="A9" s="13" t="s">
        <v>53</v>
      </c>
      <c r="B9" s="20">
        <f>1-B6</f>
        <v>1</v>
      </c>
      <c r="C9" s="13"/>
      <c r="D9" s="13" t="s">
        <v>51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">
      <c r="A10" s="13" t="s">
        <v>74</v>
      </c>
      <c r="B10" s="16">
        <f>B11*(1-B6)</f>
        <v>16800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">
      <c r="A11" s="10" t="s">
        <v>24</v>
      </c>
      <c r="B11" s="21">
        <v>16800</v>
      </c>
      <c r="C11" s="12" t="s">
        <v>18</v>
      </c>
      <c r="D11" s="13" t="s">
        <v>25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">
      <c r="A12" s="15" t="s">
        <v>0</v>
      </c>
      <c r="B12" s="16">
        <f>B10/(1-B16)*B16</f>
        <v>13999.999999999996</v>
      </c>
      <c r="C12" s="13" t="s">
        <v>18</v>
      </c>
      <c r="D12" s="13" t="s">
        <v>32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">
      <c r="A13" s="15" t="s">
        <v>1</v>
      </c>
      <c r="B13" s="22">
        <v>2.7E-2</v>
      </c>
      <c r="C13" s="13" t="s">
        <v>20</v>
      </c>
      <c r="D13" s="13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">
      <c r="A14" s="10" t="s">
        <v>30</v>
      </c>
      <c r="B14" s="23">
        <v>5.0000000000000001E-3</v>
      </c>
      <c r="C14" s="12" t="s">
        <v>20</v>
      </c>
      <c r="D14" s="13" t="s">
        <v>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">
      <c r="A15" s="10" t="s">
        <v>50</v>
      </c>
      <c r="B15" s="23">
        <v>1.4999999999999999E-2</v>
      </c>
      <c r="C15" s="12" t="s">
        <v>20</v>
      </c>
      <c r="D15" s="13" t="s">
        <v>27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">
      <c r="A16" s="15" t="s">
        <v>5</v>
      </c>
      <c r="B16" s="24">
        <f>(B15-B14)/(B13-B14)</f>
        <v>0.45454545454545447</v>
      </c>
      <c r="C16" s="13"/>
      <c r="D16" s="13" t="s">
        <v>28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33" x14ac:dyDescent="0.2">
      <c r="A17" s="15" t="s">
        <v>13</v>
      </c>
      <c r="B17" s="24">
        <f>1-B16</f>
        <v>0.54545454545454553</v>
      </c>
      <c r="C17" s="13"/>
      <c r="D17" s="13" t="s">
        <v>67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33" x14ac:dyDescent="0.2">
      <c r="A18" s="15" t="s">
        <v>6</v>
      </c>
      <c r="B18" s="16">
        <v>20</v>
      </c>
      <c r="C18" s="13" t="s">
        <v>31</v>
      </c>
      <c r="D18" s="13" t="s">
        <v>29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33" x14ac:dyDescent="0.2">
      <c r="A19" s="13" t="s">
        <v>72</v>
      </c>
      <c r="B19" s="66">
        <v>0.2</v>
      </c>
      <c r="C19" s="13"/>
      <c r="D19" s="13" t="s">
        <v>37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33" x14ac:dyDescent="0.2">
      <c r="A20" s="15" t="s">
        <v>68</v>
      </c>
      <c r="B20" s="16">
        <f>B19*B2</f>
        <v>6160</v>
      </c>
      <c r="C20" s="13" t="s">
        <v>18</v>
      </c>
      <c r="D20" s="13" t="s">
        <v>69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33" x14ac:dyDescent="0.2">
      <c r="A21" s="15" t="s">
        <v>61</v>
      </c>
      <c r="B21" s="25">
        <v>5.0000000000000001E-3</v>
      </c>
      <c r="C21" s="13"/>
      <c r="D21" s="13" t="s">
        <v>63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33" x14ac:dyDescent="0.2">
      <c r="A22" s="15" t="s">
        <v>70</v>
      </c>
      <c r="B22" s="26">
        <v>0.01</v>
      </c>
      <c r="C22" s="13"/>
      <c r="D22" s="13" t="s">
        <v>64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33" x14ac:dyDescent="0.2">
      <c r="A23" s="27" t="s">
        <v>62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33" x14ac:dyDescent="0.2">
      <c r="A24" s="29"/>
    </row>
    <row r="25" spans="1:33" x14ac:dyDescent="0.2">
      <c r="A25" s="30"/>
      <c r="B25" s="87" t="s">
        <v>56</v>
      </c>
      <c r="C25" s="87"/>
      <c r="D25" s="87"/>
      <c r="E25" s="84" t="s">
        <v>39</v>
      </c>
      <c r="F25" s="84"/>
      <c r="G25" s="84"/>
      <c r="H25" s="84"/>
      <c r="I25" s="84"/>
      <c r="J25" s="84"/>
      <c r="K25" s="84"/>
      <c r="L25" s="84"/>
      <c r="M25" s="84"/>
      <c r="N25" s="85" t="s">
        <v>38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33" s="33" customFormat="1" x14ac:dyDescent="0.2">
      <c r="A26" s="31"/>
      <c r="B26" s="32" t="s">
        <v>8</v>
      </c>
      <c r="E26" s="33">
        <v>2015</v>
      </c>
      <c r="F26" s="33">
        <v>2016</v>
      </c>
      <c r="G26" s="33">
        <v>2017</v>
      </c>
      <c r="H26" s="33">
        <v>2018</v>
      </c>
      <c r="I26" s="33">
        <v>2019</v>
      </c>
      <c r="J26" s="33">
        <v>2020</v>
      </c>
      <c r="K26" s="33">
        <v>2021</v>
      </c>
      <c r="L26" s="33">
        <v>2022</v>
      </c>
      <c r="M26" s="33">
        <v>2023</v>
      </c>
      <c r="N26" s="33">
        <v>2024</v>
      </c>
      <c r="O26" s="33">
        <v>2025</v>
      </c>
      <c r="P26" s="33">
        <v>2026</v>
      </c>
      <c r="Q26" s="33">
        <v>2027</v>
      </c>
      <c r="R26" s="33">
        <v>2028</v>
      </c>
      <c r="S26" s="33">
        <v>2029</v>
      </c>
      <c r="T26" s="33">
        <v>2030</v>
      </c>
      <c r="U26" s="33">
        <v>2031</v>
      </c>
      <c r="V26" s="33">
        <v>2032</v>
      </c>
      <c r="W26" s="33">
        <v>2033</v>
      </c>
      <c r="X26" s="33">
        <v>2034</v>
      </c>
      <c r="Y26" s="33">
        <v>2035</v>
      </c>
      <c r="Z26" s="33">
        <v>2036</v>
      </c>
      <c r="AA26" s="33">
        <v>2037</v>
      </c>
      <c r="AB26" s="33">
        <v>2038</v>
      </c>
      <c r="AC26" s="33">
        <v>2039</v>
      </c>
      <c r="AD26" s="33">
        <v>2040</v>
      </c>
      <c r="AE26" s="33">
        <v>2041</v>
      </c>
      <c r="AF26" s="33">
        <v>2042</v>
      </c>
    </row>
    <row r="27" spans="1:33" x14ac:dyDescent="0.2">
      <c r="A27" s="34" t="s">
        <v>40</v>
      </c>
      <c r="F27" s="35">
        <f>F48</f>
        <v>5893.6062670132869</v>
      </c>
      <c r="G27" s="35">
        <f t="shared" ref="G27:Z27" si="0">G48</f>
        <v>11516.822895045061</v>
      </c>
      <c r="H27" s="35">
        <f t="shared" si="0"/>
        <v>16865.594039510597</v>
      </c>
      <c r="I27" s="35">
        <f t="shared" si="0"/>
        <v>21935.803018156403</v>
      </c>
      <c r="J27" s="35">
        <f t="shared" si="0"/>
        <v>26723.271398495184</v>
      </c>
      <c r="K27" s="35">
        <f t="shared" si="0"/>
        <v>29230.579277711298</v>
      </c>
      <c r="L27" s="35">
        <f t="shared" si="0"/>
        <v>29139.167212844954</v>
      </c>
      <c r="M27" s="35">
        <f t="shared" si="0"/>
        <v>29042.430784992674</v>
      </c>
      <c r="N27" s="35">
        <f t="shared" si="0"/>
        <v>27258.498031760239</v>
      </c>
      <c r="O27" s="35">
        <f t="shared" si="0"/>
        <v>25447.806287229323</v>
      </c>
      <c r="P27" s="35">
        <f t="shared" si="0"/>
        <v>23609.954166530439</v>
      </c>
      <c r="Q27" s="35">
        <f t="shared" si="0"/>
        <v>21744.53426402108</v>
      </c>
      <c r="R27" s="35">
        <f t="shared" si="0"/>
        <v>19851.133062974073</v>
      </c>
      <c r="S27" s="35">
        <f t="shared" si="0"/>
        <v>17929.330843911361</v>
      </c>
      <c r="T27" s="35">
        <f t="shared" si="0"/>
        <v>15978.701591562714</v>
      </c>
      <c r="U27" s="35">
        <f t="shared" si="0"/>
        <v>13998.812900428835</v>
      </c>
      <c r="V27" s="35">
        <f t="shared" si="0"/>
        <v>11989.225878927948</v>
      </c>
      <c r="W27" s="35">
        <f t="shared" si="0"/>
        <v>9949.4950521045466</v>
      </c>
      <c r="X27" s="35">
        <f t="shared" si="0"/>
        <v>7879.1682628787921</v>
      </c>
      <c r="Y27" s="35">
        <f t="shared" si="0"/>
        <v>5777.7865718146522</v>
      </c>
      <c r="Z27" s="35">
        <f t="shared" si="0"/>
        <v>4003.6778883712686</v>
      </c>
      <c r="AA27" s="35">
        <f t="shared" ref="AA27:AC27" si="1">AA48</f>
        <v>2561.7513076629452</v>
      </c>
      <c r="AB27" s="35">
        <f t="shared" si="1"/>
        <v>1456.9895612307098</v>
      </c>
      <c r="AC27" s="35">
        <f t="shared" si="1"/>
        <v>694.45012158870304</v>
      </c>
      <c r="AD27" s="35">
        <f t="shared" ref="AD27:AG27" si="2">AD48</f>
        <v>279.26632333877865</v>
      </c>
      <c r="AE27" s="35">
        <f t="shared" si="2"/>
        <v>95.306825470232098</v>
      </c>
      <c r="AF27" s="35">
        <f t="shared" si="2"/>
        <v>-7.489564524121306E-13</v>
      </c>
      <c r="AG27" s="35">
        <f t="shared" si="2"/>
        <v>0</v>
      </c>
    </row>
    <row r="28" spans="1:33" x14ac:dyDescent="0.2">
      <c r="A28" s="34" t="s">
        <v>41</v>
      </c>
      <c r="E28" s="35">
        <f>MIN(B20*B5,B2)</f>
        <v>6160</v>
      </c>
      <c r="F28" s="35">
        <f t="shared" ref="F28:L28" si="3">MAX(0,MIN(F39-F57+E31,$B$20*$B$5))</f>
        <v>6160</v>
      </c>
      <c r="G28" s="35">
        <f t="shared" si="3"/>
        <v>6160</v>
      </c>
      <c r="H28" s="35">
        <f t="shared" si="3"/>
        <v>6160</v>
      </c>
      <c r="I28" s="35">
        <f t="shared" si="3"/>
        <v>6160</v>
      </c>
      <c r="J28" s="35">
        <f t="shared" si="3"/>
        <v>4076.7286015048094</v>
      </c>
      <c r="K28" s="35">
        <f t="shared" si="3"/>
        <v>1569.4207222886935</v>
      </c>
      <c r="L28" s="35">
        <f t="shared" si="3"/>
        <v>1660.8327871550393</v>
      </c>
      <c r="M28" s="35"/>
      <c r="W28" s="35"/>
      <c r="X28" s="35"/>
      <c r="Y28" s="35"/>
      <c r="Z28" s="35"/>
      <c r="AA28" s="35"/>
      <c r="AB28" s="35"/>
    </row>
    <row r="29" spans="1:33" x14ac:dyDescent="0.2">
      <c r="A29" s="34" t="s">
        <v>42</v>
      </c>
      <c r="E29" s="35"/>
      <c r="F29" s="35"/>
      <c r="G29" s="35"/>
      <c r="H29" s="35"/>
      <c r="I29" s="35"/>
      <c r="J29" s="35"/>
      <c r="K29" s="35"/>
      <c r="L29" s="35"/>
      <c r="M29" s="35">
        <f>M39-M57+L31</f>
        <v>1757.5692150073239</v>
      </c>
      <c r="N29" s="35">
        <f>N39-N57+M29</f>
        <v>3541.5019682397542</v>
      </c>
      <c r="O29" s="35">
        <f t="shared" ref="O29:AB29" si="4">O39-O57+N29</f>
        <v>5352.1937127706715</v>
      </c>
      <c r="P29" s="35">
        <f t="shared" si="4"/>
        <v>7190.0458334695522</v>
      </c>
      <c r="Q29" s="35">
        <f t="shared" si="4"/>
        <v>9055.4657359789162</v>
      </c>
      <c r="R29" s="35">
        <f t="shared" si="4"/>
        <v>10948.866937025919</v>
      </c>
      <c r="S29" s="35">
        <f t="shared" si="4"/>
        <v>12870.669156088628</v>
      </c>
      <c r="T29" s="35">
        <f t="shared" si="4"/>
        <v>14821.298408437278</v>
      </c>
      <c r="U29" s="35">
        <f t="shared" si="4"/>
        <v>16801.187099571158</v>
      </c>
      <c r="V29" s="35">
        <f t="shared" si="4"/>
        <v>18810.774121072045</v>
      </c>
      <c r="W29" s="35">
        <f t="shared" si="4"/>
        <v>20850.504947895446</v>
      </c>
      <c r="X29" s="35">
        <f t="shared" si="4"/>
        <v>22920.8317371212</v>
      </c>
      <c r="Y29" s="35">
        <f t="shared" si="4"/>
        <v>25022.21342818534</v>
      </c>
      <c r="Z29" s="35">
        <f t="shared" si="4"/>
        <v>26796.322111628728</v>
      </c>
      <c r="AA29" s="35">
        <f t="shared" si="4"/>
        <v>28238.248692337056</v>
      </c>
      <c r="AB29" s="35">
        <f t="shared" si="4"/>
        <v>29343.010438769295</v>
      </c>
      <c r="AC29" s="35">
        <f t="shared" ref="AC29:AG29" si="5">AC39-AC57+AB29</f>
        <v>30105.549878411308</v>
      </c>
      <c r="AD29" s="35">
        <f t="shared" si="5"/>
        <v>30520.733676661235</v>
      </c>
      <c r="AE29" s="35">
        <f t="shared" si="5"/>
        <v>30704.693174529781</v>
      </c>
      <c r="AF29" s="35">
        <f t="shared" si="5"/>
        <v>30800.000000000015</v>
      </c>
      <c r="AG29" s="35">
        <f t="shared" si="5"/>
        <v>30800.000000000015</v>
      </c>
    </row>
    <row r="30" spans="1:33" x14ac:dyDescent="0.2">
      <c r="A30" s="34" t="s">
        <v>43</v>
      </c>
      <c r="E30" s="35"/>
      <c r="F30" s="35"/>
      <c r="G30" s="35"/>
      <c r="H30" s="35"/>
      <c r="I30" s="35"/>
      <c r="J30" s="35"/>
      <c r="K30" s="35"/>
      <c r="L30" s="35"/>
      <c r="M30" s="35">
        <f>M31*$B$17</f>
        <v>958.67411727672163</v>
      </c>
      <c r="N30" s="35">
        <f t="shared" ref="N30:AC30" si="6">N31*$B$17</f>
        <v>1931.7283463125955</v>
      </c>
      <c r="O30" s="35">
        <f t="shared" si="6"/>
        <v>2919.3783887840041</v>
      </c>
      <c r="P30" s="35">
        <f t="shared" si="6"/>
        <v>3921.8431818924864</v>
      </c>
      <c r="Q30" s="35">
        <f t="shared" si="6"/>
        <v>4939.3449468975914</v>
      </c>
      <c r="R30" s="35">
        <f t="shared" si="6"/>
        <v>5972.1092383777768</v>
      </c>
      <c r="S30" s="35">
        <f t="shared" si="6"/>
        <v>7020.3649942301654</v>
      </c>
      <c r="T30" s="35">
        <f t="shared" si="6"/>
        <v>8084.3445864203368</v>
      </c>
      <c r="U30" s="35">
        <f t="shared" si="6"/>
        <v>9164.2838724933627</v>
      </c>
      <c r="V30" s="35">
        <f t="shared" si="6"/>
        <v>10260.422247857483</v>
      </c>
      <c r="W30" s="35">
        <f t="shared" si="6"/>
        <v>11373.002698852066</v>
      </c>
      <c r="X30" s="35">
        <f t="shared" si="6"/>
        <v>12502.271856611567</v>
      </c>
      <c r="Y30" s="35">
        <f t="shared" si="6"/>
        <v>13648.480051737462</v>
      </c>
      <c r="Z30" s="35">
        <f t="shared" si="6"/>
        <v>14616.175697252034</v>
      </c>
      <c r="AA30" s="35">
        <f t="shared" si="6"/>
        <v>15402.681104911122</v>
      </c>
      <c r="AB30" s="35">
        <f t="shared" si="6"/>
        <v>16005.278421146886</v>
      </c>
      <c r="AC30" s="35">
        <f t="shared" si="6"/>
        <v>16421.209024587981</v>
      </c>
      <c r="AD30" s="35">
        <f t="shared" ref="AD30" si="7">AD31*$B$17</f>
        <v>16647.672914542483</v>
      </c>
      <c r="AE30" s="35">
        <f t="shared" ref="AE30" si="8">AE31*$B$17</f>
        <v>16748.014458834419</v>
      </c>
      <c r="AF30" s="35">
        <f t="shared" ref="AF30" si="9">AF31*$B$17</f>
        <v>16800</v>
      </c>
      <c r="AG30" s="35">
        <f t="shared" ref="AG30" si="10">AG31*$B$17</f>
        <v>16800</v>
      </c>
    </row>
    <row r="31" spans="1:33" x14ac:dyDescent="0.2">
      <c r="A31" s="35" t="s">
        <v>44</v>
      </c>
      <c r="E31" s="35">
        <f>E32-E27-E28</f>
        <v>24639.999999999996</v>
      </c>
      <c r="F31" s="35">
        <f t="shared" ref="F31:L31" si="11">F32-F27-F28</f>
        <v>18746.393732986711</v>
      </c>
      <c r="G31" s="35">
        <f t="shared" si="11"/>
        <v>13123.177104954935</v>
      </c>
      <c r="H31" s="35">
        <f t="shared" si="11"/>
        <v>7774.4059604893991</v>
      </c>
      <c r="I31" s="35">
        <f t="shared" si="11"/>
        <v>2704.1969818435937</v>
      </c>
      <c r="J31" s="35">
        <f t="shared" si="11"/>
        <v>0</v>
      </c>
      <c r="K31" s="35">
        <f t="shared" si="11"/>
        <v>4.5474735088646412E-12</v>
      </c>
      <c r="L31" s="35">
        <f t="shared" si="11"/>
        <v>3.4106051316484809E-12</v>
      </c>
      <c r="M31" s="35">
        <f t="shared" ref="M31" si="12">M32-M27-M28</f>
        <v>1757.5692150073228</v>
      </c>
      <c r="N31" s="35">
        <f t="shared" ref="N31" si="13">N32-N27-N28</f>
        <v>3541.5019682397578</v>
      </c>
      <c r="O31" s="35">
        <f t="shared" ref="O31" si="14">O32-O27-O28</f>
        <v>5352.1937127706733</v>
      </c>
      <c r="P31" s="35">
        <f t="shared" ref="P31" si="15">P32-P27-P28</f>
        <v>7190.0458334695577</v>
      </c>
      <c r="Q31" s="35">
        <f t="shared" ref="Q31" si="16">Q32-Q27-Q28</f>
        <v>9055.4657359789162</v>
      </c>
      <c r="R31" s="35">
        <f t="shared" ref="R31" si="17">R32-R27-R28</f>
        <v>10948.866937025923</v>
      </c>
      <c r="S31" s="35">
        <f t="shared" ref="S31" si="18">S32-S27-S28</f>
        <v>12870.669156088636</v>
      </c>
      <c r="T31" s="35">
        <f t="shared" ref="T31" si="19">T32-T27-T28</f>
        <v>14821.298408437282</v>
      </c>
      <c r="U31" s="35">
        <f t="shared" ref="U31" si="20">U32-U27-U28</f>
        <v>16801.187099571162</v>
      </c>
      <c r="V31" s="35">
        <f t="shared" ref="V31" si="21">V32-V27-V28</f>
        <v>18810.774121072049</v>
      </c>
      <c r="W31" s="35">
        <f t="shared" ref="W31" si="22">W32-W27-W28</f>
        <v>20850.50494789545</v>
      </c>
      <c r="X31" s="35">
        <f t="shared" ref="X31" si="23">X32-X27-X28</f>
        <v>22920.831737121203</v>
      </c>
      <c r="Y31" s="35">
        <f t="shared" ref="Y31" si="24">Y32-Y27-Y28</f>
        <v>25022.213428185343</v>
      </c>
      <c r="Z31" s="35">
        <f t="shared" ref="Z31" si="25">Z32-Z27-Z28</f>
        <v>26796.322111628728</v>
      </c>
      <c r="AA31" s="35">
        <f t="shared" ref="AA31" si="26">AA32-AA27-AA28</f>
        <v>28238.248692337052</v>
      </c>
      <c r="AB31" s="35">
        <f t="shared" ref="AB31:AC31" si="27">AB32-AB27-AB28</f>
        <v>29343.010438769288</v>
      </c>
      <c r="AC31" s="35">
        <f t="shared" si="27"/>
        <v>30105.549878411293</v>
      </c>
      <c r="AD31" s="35">
        <f t="shared" ref="AD31" si="28">AD32-AD27-AD28</f>
        <v>30520.733676661217</v>
      </c>
      <c r="AE31" s="35">
        <f t="shared" ref="AE31" si="29">AE32-AE27-AE28</f>
        <v>30704.693174529762</v>
      </c>
      <c r="AF31" s="35">
        <f t="shared" ref="AF31" si="30">AF32-AF27-AF28</f>
        <v>30799.999999999996</v>
      </c>
      <c r="AG31" s="35">
        <f t="shared" ref="AG31" si="31">AG32-AG27-AG28</f>
        <v>30799.999999999996</v>
      </c>
    </row>
    <row r="32" spans="1:33" s="33" customFormat="1" x14ac:dyDescent="0.2">
      <c r="A32" s="36" t="s">
        <v>45</v>
      </c>
      <c r="E32" s="37">
        <f>B2</f>
        <v>30799.999999999996</v>
      </c>
      <c r="F32" s="37">
        <f>E32-E28*$B$8</f>
        <v>30799.999999999996</v>
      </c>
      <c r="G32" s="37">
        <f>F32-F28*$B$8</f>
        <v>30799.999999999996</v>
      </c>
      <c r="H32" s="37">
        <f>G32-G28*$B$8</f>
        <v>30799.999999999996</v>
      </c>
      <c r="I32" s="37">
        <f>H32-H28*$B$8</f>
        <v>30799.999999999996</v>
      </c>
      <c r="J32" s="37">
        <f>I32-I28*$B$8</f>
        <v>30799.999999999996</v>
      </c>
      <c r="K32" s="37">
        <f>J32</f>
        <v>30799.999999999996</v>
      </c>
      <c r="L32" s="37">
        <f t="shared" ref="L32:AB32" si="32">K32</f>
        <v>30799.999999999996</v>
      </c>
      <c r="M32" s="37">
        <f t="shared" si="32"/>
        <v>30799.999999999996</v>
      </c>
      <c r="N32" s="37">
        <f t="shared" si="32"/>
        <v>30799.999999999996</v>
      </c>
      <c r="O32" s="37">
        <f t="shared" si="32"/>
        <v>30799.999999999996</v>
      </c>
      <c r="P32" s="37">
        <f t="shared" si="32"/>
        <v>30799.999999999996</v>
      </c>
      <c r="Q32" s="37">
        <f t="shared" si="32"/>
        <v>30799.999999999996</v>
      </c>
      <c r="R32" s="37">
        <f t="shared" si="32"/>
        <v>30799.999999999996</v>
      </c>
      <c r="S32" s="37">
        <f t="shared" si="32"/>
        <v>30799.999999999996</v>
      </c>
      <c r="T32" s="37">
        <f t="shared" si="32"/>
        <v>30799.999999999996</v>
      </c>
      <c r="U32" s="37">
        <f t="shared" si="32"/>
        <v>30799.999999999996</v>
      </c>
      <c r="V32" s="37">
        <f t="shared" si="32"/>
        <v>30799.999999999996</v>
      </c>
      <c r="W32" s="37">
        <f t="shared" si="32"/>
        <v>30799.999999999996</v>
      </c>
      <c r="X32" s="37">
        <f t="shared" si="32"/>
        <v>30799.999999999996</v>
      </c>
      <c r="Y32" s="37">
        <f t="shared" si="32"/>
        <v>30799.999999999996</v>
      </c>
      <c r="Z32" s="37">
        <f t="shared" si="32"/>
        <v>30799.999999999996</v>
      </c>
      <c r="AA32" s="37">
        <f t="shared" si="32"/>
        <v>30799.999999999996</v>
      </c>
      <c r="AB32" s="37">
        <f t="shared" si="32"/>
        <v>30799.999999999996</v>
      </c>
      <c r="AC32" s="37">
        <f t="shared" ref="AC32:AG32" si="33">AB32</f>
        <v>30799.999999999996</v>
      </c>
      <c r="AD32" s="37">
        <f t="shared" si="33"/>
        <v>30799.999999999996</v>
      </c>
      <c r="AE32" s="37">
        <f t="shared" si="33"/>
        <v>30799.999999999996</v>
      </c>
      <c r="AF32" s="37">
        <f t="shared" si="33"/>
        <v>30799.999999999996</v>
      </c>
      <c r="AG32" s="37">
        <f t="shared" si="33"/>
        <v>30799.999999999996</v>
      </c>
    </row>
    <row r="33" spans="1:33" s="33" customFormat="1" x14ac:dyDescent="0.2">
      <c r="A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33" s="33" customFormat="1" x14ac:dyDescent="0.2">
      <c r="A34" s="36" t="s">
        <v>57</v>
      </c>
      <c r="E34" s="35"/>
      <c r="F34" s="35">
        <f>$B$21*$B$11</f>
        <v>84</v>
      </c>
      <c r="G34" s="35">
        <f t="shared" ref="G34:M34" si="34">$B$21*$B$11</f>
        <v>84</v>
      </c>
      <c r="H34" s="35">
        <f t="shared" si="34"/>
        <v>84</v>
      </c>
      <c r="I34" s="35">
        <f t="shared" si="34"/>
        <v>84</v>
      </c>
      <c r="J34" s="35">
        <f t="shared" si="34"/>
        <v>84</v>
      </c>
      <c r="K34" s="35">
        <f t="shared" si="34"/>
        <v>84</v>
      </c>
      <c r="L34" s="35">
        <f t="shared" si="34"/>
        <v>84</v>
      </c>
      <c r="M34" s="35">
        <f t="shared" si="34"/>
        <v>84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33" x14ac:dyDescent="0.2">
      <c r="A35" s="34" t="s">
        <v>70</v>
      </c>
      <c r="E35" s="38"/>
      <c r="F35" s="38">
        <f t="shared" ref="F35:M35" si="35">E28*$B$17*$B$22</f>
        <v>33.600000000000009</v>
      </c>
      <c r="G35" s="38">
        <f t="shared" si="35"/>
        <v>33.600000000000009</v>
      </c>
      <c r="H35" s="38">
        <f t="shared" si="35"/>
        <v>33.600000000000009</v>
      </c>
      <c r="I35" s="38">
        <f t="shared" si="35"/>
        <v>33.600000000000009</v>
      </c>
      <c r="J35" s="38">
        <f t="shared" si="35"/>
        <v>33.600000000000009</v>
      </c>
      <c r="K35" s="38">
        <f t="shared" si="35"/>
        <v>22.236701462753508</v>
      </c>
      <c r="L35" s="38">
        <f t="shared" si="35"/>
        <v>8.5604766670292385</v>
      </c>
      <c r="M35" s="38">
        <f t="shared" si="35"/>
        <v>9.0590879299365792</v>
      </c>
    </row>
    <row r="36" spans="1:33" hidden="1" x14ac:dyDescent="0.2">
      <c r="A36" s="34"/>
      <c r="E36" s="38"/>
      <c r="F36" s="38">
        <v>84</v>
      </c>
      <c r="G36" s="38">
        <v>84</v>
      </c>
      <c r="H36" s="38">
        <v>84</v>
      </c>
      <c r="I36" s="38">
        <v>84</v>
      </c>
      <c r="J36" s="38">
        <v>84</v>
      </c>
      <c r="K36" s="38">
        <v>84</v>
      </c>
      <c r="L36" s="38">
        <v>84</v>
      </c>
      <c r="M36" s="38">
        <v>84</v>
      </c>
    </row>
    <row r="37" spans="1:33" hidden="1" x14ac:dyDescent="0.2">
      <c r="A37" s="34"/>
      <c r="E37" s="38"/>
      <c r="F37" s="38">
        <v>32.727272727272734</v>
      </c>
      <c r="G37" s="38">
        <v>32.727272727272734</v>
      </c>
      <c r="H37" s="38">
        <v>32.727272727272734</v>
      </c>
      <c r="I37" s="38">
        <v>32.727272727272734</v>
      </c>
      <c r="J37" s="38">
        <v>32.727272727272734</v>
      </c>
      <c r="K37" s="38">
        <v>32.727272727272734</v>
      </c>
      <c r="L37" s="38">
        <v>12.380837023408199</v>
      </c>
      <c r="M37" s="38">
        <v>12.964106801424096</v>
      </c>
    </row>
    <row r="38" spans="1:33" x14ac:dyDescent="0.2">
      <c r="A38" s="34"/>
      <c r="B38" s="35"/>
      <c r="F38" s="35"/>
    </row>
    <row r="39" spans="1:33" s="33" customFormat="1" x14ac:dyDescent="0.2">
      <c r="A39" s="36" t="s">
        <v>7</v>
      </c>
      <c r="F39" s="37">
        <f>SUM(F40:F47)</f>
        <v>358.79373298671237</v>
      </c>
      <c r="G39" s="37">
        <f t="shared" ref="G39:AD39" si="36">SUM(G40:G47)</f>
        <v>717.58746597342474</v>
      </c>
      <c r="H39" s="37">
        <f t="shared" si="36"/>
        <v>1076.3811989601372</v>
      </c>
      <c r="I39" s="37">
        <f t="shared" si="36"/>
        <v>1435.1749319468495</v>
      </c>
      <c r="J39" s="37">
        <f t="shared" si="36"/>
        <v>1793.9686649335617</v>
      </c>
      <c r="K39" s="37">
        <f t="shared" si="36"/>
        <v>2031.4207222886932</v>
      </c>
      <c r="L39" s="37">
        <f t="shared" si="36"/>
        <v>2122.8327871550346</v>
      </c>
      <c r="M39" s="37">
        <f t="shared" si="36"/>
        <v>2219.5692150073205</v>
      </c>
      <c r="N39" s="37">
        <f t="shared" si="36"/>
        <v>2219.5692150073205</v>
      </c>
      <c r="O39" s="37">
        <f t="shared" si="36"/>
        <v>2219.5692150073205</v>
      </c>
      <c r="P39" s="37">
        <f t="shared" si="36"/>
        <v>2219.5692150073205</v>
      </c>
      <c r="Q39" s="37">
        <f t="shared" si="36"/>
        <v>2219.5692150073205</v>
      </c>
      <c r="R39" s="37">
        <f t="shared" si="36"/>
        <v>2219.5692150073205</v>
      </c>
      <c r="S39" s="37">
        <f t="shared" si="36"/>
        <v>2219.5692150073205</v>
      </c>
      <c r="T39" s="37">
        <f t="shared" si="36"/>
        <v>2219.5692150073205</v>
      </c>
      <c r="U39" s="37">
        <f t="shared" si="36"/>
        <v>2219.5692150073205</v>
      </c>
      <c r="V39" s="37">
        <f t="shared" si="36"/>
        <v>2219.5692150073205</v>
      </c>
      <c r="W39" s="37">
        <f t="shared" si="36"/>
        <v>2219.5692150073205</v>
      </c>
      <c r="X39" s="37">
        <f t="shared" si="36"/>
        <v>2219.5692150073205</v>
      </c>
      <c r="Y39" s="37">
        <f t="shared" si="36"/>
        <v>2219.5692150073205</v>
      </c>
      <c r="Z39" s="37">
        <f t="shared" si="36"/>
        <v>1860.7754820206085</v>
      </c>
      <c r="AA39" s="37">
        <f t="shared" si="36"/>
        <v>1501.9817490338962</v>
      </c>
      <c r="AB39" s="37">
        <f t="shared" si="36"/>
        <v>1143.1880160471837</v>
      </c>
      <c r="AC39" s="37">
        <f t="shared" si="36"/>
        <v>784.39428306047137</v>
      </c>
      <c r="AD39" s="37">
        <f t="shared" si="36"/>
        <v>425.600550073759</v>
      </c>
      <c r="AE39" s="37">
        <f t="shared" ref="AE39" si="37">SUM(AE40:AE47)</f>
        <v>188.14849271862749</v>
      </c>
      <c r="AF39" s="37">
        <f t="shared" ref="AF39:AG39" si="38">SUM(AF40:AF47)</f>
        <v>96.736427852286127</v>
      </c>
      <c r="AG39" s="37">
        <f t="shared" si="38"/>
        <v>0</v>
      </c>
    </row>
    <row r="40" spans="1:33" outlineLevel="1" x14ac:dyDescent="0.2">
      <c r="A40" s="34">
        <v>2016</v>
      </c>
      <c r="F40" s="35">
        <f>PMT($B$15,$B$18,-$E$28*$B$9)</f>
        <v>358.79373298671237</v>
      </c>
      <c r="G40" s="35">
        <f t="shared" ref="G40:Y40" si="39">PMT($B$15,$B$18,-$E$28*$B$9)</f>
        <v>358.79373298671237</v>
      </c>
      <c r="H40" s="35">
        <f t="shared" si="39"/>
        <v>358.79373298671237</v>
      </c>
      <c r="I40" s="35">
        <f t="shared" si="39"/>
        <v>358.79373298671237</v>
      </c>
      <c r="J40" s="35">
        <f t="shared" si="39"/>
        <v>358.79373298671237</v>
      </c>
      <c r="K40" s="35">
        <f t="shared" si="39"/>
        <v>358.79373298671237</v>
      </c>
      <c r="L40" s="35">
        <f t="shared" si="39"/>
        <v>358.79373298671237</v>
      </c>
      <c r="M40" s="35">
        <f t="shared" si="39"/>
        <v>358.79373298671237</v>
      </c>
      <c r="N40" s="35">
        <f t="shared" si="39"/>
        <v>358.79373298671237</v>
      </c>
      <c r="O40" s="35">
        <f t="shared" si="39"/>
        <v>358.79373298671237</v>
      </c>
      <c r="P40" s="35">
        <f t="shared" si="39"/>
        <v>358.79373298671237</v>
      </c>
      <c r="Q40" s="35">
        <f t="shared" si="39"/>
        <v>358.79373298671237</v>
      </c>
      <c r="R40" s="35">
        <f t="shared" si="39"/>
        <v>358.79373298671237</v>
      </c>
      <c r="S40" s="35">
        <f t="shared" si="39"/>
        <v>358.79373298671237</v>
      </c>
      <c r="T40" s="35">
        <f t="shared" si="39"/>
        <v>358.79373298671237</v>
      </c>
      <c r="U40" s="35">
        <f t="shared" si="39"/>
        <v>358.79373298671237</v>
      </c>
      <c r="V40" s="35">
        <f t="shared" si="39"/>
        <v>358.79373298671237</v>
      </c>
      <c r="W40" s="35">
        <f t="shared" si="39"/>
        <v>358.79373298671237</v>
      </c>
      <c r="X40" s="35">
        <f t="shared" si="39"/>
        <v>358.79373298671237</v>
      </c>
      <c r="Y40" s="35">
        <f t="shared" si="39"/>
        <v>358.79373298671237</v>
      </c>
    </row>
    <row r="41" spans="1:33" outlineLevel="1" x14ac:dyDescent="0.2">
      <c r="A41" s="34">
        <v>2017</v>
      </c>
      <c r="F41" s="35"/>
      <c r="G41" s="35">
        <f>PMT($B$15,$B$18,-$F$28*$B$9)</f>
        <v>358.79373298671237</v>
      </c>
      <c r="H41" s="35">
        <f t="shared" ref="H41:Z41" si="40">PMT($B$15,$B$18,-$F$28*$B$9)</f>
        <v>358.79373298671237</v>
      </c>
      <c r="I41" s="35">
        <f t="shared" si="40"/>
        <v>358.79373298671237</v>
      </c>
      <c r="J41" s="35">
        <f t="shared" si="40"/>
        <v>358.79373298671237</v>
      </c>
      <c r="K41" s="35">
        <f t="shared" si="40"/>
        <v>358.79373298671237</v>
      </c>
      <c r="L41" s="35">
        <f t="shared" si="40"/>
        <v>358.79373298671237</v>
      </c>
      <c r="M41" s="35">
        <f t="shared" si="40"/>
        <v>358.79373298671237</v>
      </c>
      <c r="N41" s="35">
        <f t="shared" si="40"/>
        <v>358.79373298671237</v>
      </c>
      <c r="O41" s="35">
        <f t="shared" si="40"/>
        <v>358.79373298671237</v>
      </c>
      <c r="P41" s="35">
        <f t="shared" si="40"/>
        <v>358.79373298671237</v>
      </c>
      <c r="Q41" s="35">
        <f t="shared" si="40"/>
        <v>358.79373298671237</v>
      </c>
      <c r="R41" s="35">
        <f t="shared" si="40"/>
        <v>358.79373298671237</v>
      </c>
      <c r="S41" s="35">
        <f t="shared" si="40"/>
        <v>358.79373298671237</v>
      </c>
      <c r="T41" s="35">
        <f t="shared" si="40"/>
        <v>358.79373298671237</v>
      </c>
      <c r="U41" s="35">
        <f t="shared" si="40"/>
        <v>358.79373298671237</v>
      </c>
      <c r="V41" s="35">
        <f t="shared" si="40"/>
        <v>358.79373298671237</v>
      </c>
      <c r="W41" s="35">
        <f t="shared" si="40"/>
        <v>358.79373298671237</v>
      </c>
      <c r="X41" s="35">
        <f t="shared" si="40"/>
        <v>358.79373298671237</v>
      </c>
      <c r="Y41" s="35">
        <f t="shared" si="40"/>
        <v>358.79373298671237</v>
      </c>
      <c r="Z41" s="35">
        <f t="shared" si="40"/>
        <v>358.79373298671237</v>
      </c>
    </row>
    <row r="42" spans="1:33" outlineLevel="1" x14ac:dyDescent="0.2">
      <c r="A42" s="34">
        <v>2018</v>
      </c>
      <c r="F42" s="35"/>
      <c r="H42" s="35">
        <f>PMT($B$15,$B$18,-$G$28*$B$9)</f>
        <v>358.79373298671237</v>
      </c>
      <c r="I42" s="35">
        <f t="shared" ref="I42:AA42" si="41">PMT($B$15,$B$18,-$G$28*$B$9)</f>
        <v>358.79373298671237</v>
      </c>
      <c r="J42" s="35">
        <f t="shared" si="41"/>
        <v>358.79373298671237</v>
      </c>
      <c r="K42" s="35">
        <f t="shared" si="41"/>
        <v>358.79373298671237</v>
      </c>
      <c r="L42" s="35">
        <f t="shared" si="41"/>
        <v>358.79373298671237</v>
      </c>
      <c r="M42" s="35">
        <f t="shared" si="41"/>
        <v>358.79373298671237</v>
      </c>
      <c r="N42" s="35">
        <f t="shared" si="41"/>
        <v>358.79373298671237</v>
      </c>
      <c r="O42" s="35">
        <f t="shared" si="41"/>
        <v>358.79373298671237</v>
      </c>
      <c r="P42" s="35">
        <f t="shared" si="41"/>
        <v>358.79373298671237</v>
      </c>
      <c r="Q42" s="35">
        <f t="shared" si="41"/>
        <v>358.79373298671237</v>
      </c>
      <c r="R42" s="35">
        <f t="shared" si="41"/>
        <v>358.79373298671237</v>
      </c>
      <c r="S42" s="35">
        <f t="shared" si="41"/>
        <v>358.79373298671237</v>
      </c>
      <c r="T42" s="35">
        <f t="shared" si="41"/>
        <v>358.79373298671237</v>
      </c>
      <c r="U42" s="35">
        <f t="shared" si="41"/>
        <v>358.79373298671237</v>
      </c>
      <c r="V42" s="35">
        <f t="shared" si="41"/>
        <v>358.79373298671237</v>
      </c>
      <c r="W42" s="35">
        <f t="shared" si="41"/>
        <v>358.79373298671237</v>
      </c>
      <c r="X42" s="35">
        <f t="shared" si="41"/>
        <v>358.79373298671237</v>
      </c>
      <c r="Y42" s="35">
        <f t="shared" si="41"/>
        <v>358.79373298671237</v>
      </c>
      <c r="Z42" s="35">
        <f t="shared" si="41"/>
        <v>358.79373298671237</v>
      </c>
      <c r="AA42" s="35">
        <f t="shared" si="41"/>
        <v>358.79373298671237</v>
      </c>
    </row>
    <row r="43" spans="1:33" outlineLevel="1" x14ac:dyDescent="0.2">
      <c r="A43" s="34">
        <v>2019</v>
      </c>
      <c r="F43" s="35"/>
      <c r="I43" s="35">
        <f>PMT($B$15,$B$18,-$H$28*$B$9)</f>
        <v>358.79373298671237</v>
      </c>
      <c r="J43" s="35">
        <f t="shared" ref="J43:AB43" si="42">PMT($B$15,$B$18,-$H$28*$B$9)</f>
        <v>358.79373298671237</v>
      </c>
      <c r="K43" s="35">
        <f t="shared" si="42"/>
        <v>358.79373298671237</v>
      </c>
      <c r="L43" s="35">
        <f t="shared" si="42"/>
        <v>358.79373298671237</v>
      </c>
      <c r="M43" s="35">
        <f t="shared" si="42"/>
        <v>358.79373298671237</v>
      </c>
      <c r="N43" s="35">
        <f t="shared" si="42"/>
        <v>358.79373298671237</v>
      </c>
      <c r="O43" s="35">
        <f t="shared" si="42"/>
        <v>358.79373298671237</v>
      </c>
      <c r="P43" s="35">
        <f t="shared" si="42"/>
        <v>358.79373298671237</v>
      </c>
      <c r="Q43" s="35">
        <f t="shared" si="42"/>
        <v>358.79373298671237</v>
      </c>
      <c r="R43" s="35">
        <f t="shared" si="42"/>
        <v>358.79373298671237</v>
      </c>
      <c r="S43" s="35">
        <f t="shared" si="42"/>
        <v>358.79373298671237</v>
      </c>
      <c r="T43" s="35">
        <f t="shared" si="42"/>
        <v>358.79373298671237</v>
      </c>
      <c r="U43" s="35">
        <f t="shared" si="42"/>
        <v>358.79373298671237</v>
      </c>
      <c r="V43" s="35">
        <f t="shared" si="42"/>
        <v>358.79373298671237</v>
      </c>
      <c r="W43" s="35">
        <f t="shared" si="42"/>
        <v>358.79373298671237</v>
      </c>
      <c r="X43" s="35">
        <f t="shared" si="42"/>
        <v>358.79373298671237</v>
      </c>
      <c r="Y43" s="35">
        <f t="shared" si="42"/>
        <v>358.79373298671237</v>
      </c>
      <c r="Z43" s="35">
        <f t="shared" si="42"/>
        <v>358.79373298671237</v>
      </c>
      <c r="AA43" s="35">
        <f t="shared" si="42"/>
        <v>358.79373298671237</v>
      </c>
      <c r="AB43" s="35">
        <f t="shared" si="42"/>
        <v>358.79373298671237</v>
      </c>
    </row>
    <row r="44" spans="1:33" outlineLevel="1" x14ac:dyDescent="0.2">
      <c r="A44" s="34">
        <v>2020</v>
      </c>
      <c r="F44" s="35"/>
      <c r="J44" s="35">
        <f>PMT($B$15,$B$18,-$I$28*$B$9)</f>
        <v>358.79373298671237</v>
      </c>
      <c r="K44" s="35">
        <f t="shared" ref="K44:AC44" si="43">PMT($B$15,$B$18,-$I$28*$B$9)</f>
        <v>358.79373298671237</v>
      </c>
      <c r="L44" s="35">
        <f t="shared" si="43"/>
        <v>358.79373298671237</v>
      </c>
      <c r="M44" s="35">
        <f t="shared" si="43"/>
        <v>358.79373298671237</v>
      </c>
      <c r="N44" s="35">
        <f t="shared" si="43"/>
        <v>358.79373298671237</v>
      </c>
      <c r="O44" s="35">
        <f t="shared" si="43"/>
        <v>358.79373298671237</v>
      </c>
      <c r="P44" s="35">
        <f t="shared" si="43"/>
        <v>358.79373298671237</v>
      </c>
      <c r="Q44" s="35">
        <f t="shared" si="43"/>
        <v>358.79373298671237</v>
      </c>
      <c r="R44" s="35">
        <f t="shared" si="43"/>
        <v>358.79373298671237</v>
      </c>
      <c r="S44" s="35">
        <f t="shared" si="43"/>
        <v>358.79373298671237</v>
      </c>
      <c r="T44" s="35">
        <f t="shared" si="43"/>
        <v>358.79373298671237</v>
      </c>
      <c r="U44" s="35">
        <f t="shared" si="43"/>
        <v>358.79373298671237</v>
      </c>
      <c r="V44" s="35">
        <f t="shared" si="43"/>
        <v>358.79373298671237</v>
      </c>
      <c r="W44" s="35">
        <f t="shared" si="43"/>
        <v>358.79373298671237</v>
      </c>
      <c r="X44" s="35">
        <f t="shared" si="43"/>
        <v>358.79373298671237</v>
      </c>
      <c r="Y44" s="35">
        <f t="shared" si="43"/>
        <v>358.79373298671237</v>
      </c>
      <c r="Z44" s="35">
        <f t="shared" si="43"/>
        <v>358.79373298671237</v>
      </c>
      <c r="AA44" s="35">
        <f t="shared" si="43"/>
        <v>358.79373298671237</v>
      </c>
      <c r="AB44" s="35">
        <f t="shared" si="43"/>
        <v>358.79373298671237</v>
      </c>
      <c r="AC44" s="35">
        <f t="shared" si="43"/>
        <v>358.79373298671237</v>
      </c>
    </row>
    <row r="45" spans="1:33" outlineLevel="1" x14ac:dyDescent="0.2">
      <c r="A45" s="34">
        <v>2021</v>
      </c>
      <c r="F45" s="35"/>
      <c r="K45" s="35">
        <f t="shared" ref="K45:AD45" si="44">PMT($B$15,$B$18,-$J$28)</f>
        <v>237.4520573551315</v>
      </c>
      <c r="L45" s="35">
        <f t="shared" si="44"/>
        <v>237.4520573551315</v>
      </c>
      <c r="M45" s="35">
        <f t="shared" si="44"/>
        <v>237.4520573551315</v>
      </c>
      <c r="N45" s="35">
        <f t="shared" si="44"/>
        <v>237.4520573551315</v>
      </c>
      <c r="O45" s="35">
        <f t="shared" si="44"/>
        <v>237.4520573551315</v>
      </c>
      <c r="P45" s="35">
        <f t="shared" si="44"/>
        <v>237.4520573551315</v>
      </c>
      <c r="Q45" s="35">
        <f t="shared" si="44"/>
        <v>237.4520573551315</v>
      </c>
      <c r="R45" s="35">
        <f t="shared" si="44"/>
        <v>237.4520573551315</v>
      </c>
      <c r="S45" s="35">
        <f t="shared" si="44"/>
        <v>237.4520573551315</v>
      </c>
      <c r="T45" s="35">
        <f t="shared" si="44"/>
        <v>237.4520573551315</v>
      </c>
      <c r="U45" s="35">
        <f t="shared" si="44"/>
        <v>237.4520573551315</v>
      </c>
      <c r="V45" s="35">
        <f t="shared" si="44"/>
        <v>237.4520573551315</v>
      </c>
      <c r="W45" s="35">
        <f t="shared" si="44"/>
        <v>237.4520573551315</v>
      </c>
      <c r="X45" s="35">
        <f t="shared" si="44"/>
        <v>237.4520573551315</v>
      </c>
      <c r="Y45" s="35">
        <f t="shared" si="44"/>
        <v>237.4520573551315</v>
      </c>
      <c r="Z45" s="35">
        <f t="shared" si="44"/>
        <v>237.4520573551315</v>
      </c>
      <c r="AA45" s="35">
        <f t="shared" si="44"/>
        <v>237.4520573551315</v>
      </c>
      <c r="AB45" s="35">
        <f t="shared" si="44"/>
        <v>237.4520573551315</v>
      </c>
      <c r="AC45" s="35">
        <f t="shared" si="44"/>
        <v>237.4520573551315</v>
      </c>
      <c r="AD45" s="35">
        <f t="shared" si="44"/>
        <v>237.4520573551315</v>
      </c>
    </row>
    <row r="46" spans="1:33" outlineLevel="1" x14ac:dyDescent="0.2">
      <c r="A46" s="34">
        <v>2022</v>
      </c>
      <c r="F46" s="35"/>
      <c r="L46" s="35">
        <f t="shared" ref="L46:AE46" si="45">PMT($B$15,$B$18,-$K$28)</f>
        <v>91.412064866341368</v>
      </c>
      <c r="M46" s="35">
        <f t="shared" si="45"/>
        <v>91.412064866341368</v>
      </c>
      <c r="N46" s="35">
        <f t="shared" si="45"/>
        <v>91.412064866341368</v>
      </c>
      <c r="O46" s="35">
        <f t="shared" si="45"/>
        <v>91.412064866341368</v>
      </c>
      <c r="P46" s="35">
        <f t="shared" si="45"/>
        <v>91.412064866341368</v>
      </c>
      <c r="Q46" s="35">
        <f t="shared" si="45"/>
        <v>91.412064866341368</v>
      </c>
      <c r="R46" s="35">
        <f t="shared" si="45"/>
        <v>91.412064866341368</v>
      </c>
      <c r="S46" s="35">
        <f t="shared" si="45"/>
        <v>91.412064866341368</v>
      </c>
      <c r="T46" s="35">
        <f t="shared" si="45"/>
        <v>91.412064866341368</v>
      </c>
      <c r="U46" s="35">
        <f t="shared" si="45"/>
        <v>91.412064866341368</v>
      </c>
      <c r="V46" s="35">
        <f t="shared" si="45"/>
        <v>91.412064866341368</v>
      </c>
      <c r="W46" s="35">
        <f t="shared" si="45"/>
        <v>91.412064866341368</v>
      </c>
      <c r="X46" s="35">
        <f t="shared" si="45"/>
        <v>91.412064866341368</v>
      </c>
      <c r="Y46" s="35">
        <f t="shared" si="45"/>
        <v>91.412064866341368</v>
      </c>
      <c r="Z46" s="35">
        <f t="shared" si="45"/>
        <v>91.412064866341368</v>
      </c>
      <c r="AA46" s="35">
        <f t="shared" si="45"/>
        <v>91.412064866341368</v>
      </c>
      <c r="AB46" s="35">
        <f t="shared" si="45"/>
        <v>91.412064866341368</v>
      </c>
      <c r="AC46" s="35">
        <f t="shared" si="45"/>
        <v>91.412064866341368</v>
      </c>
      <c r="AD46" s="35">
        <f t="shared" si="45"/>
        <v>91.412064866341368</v>
      </c>
      <c r="AE46" s="35">
        <f t="shared" si="45"/>
        <v>91.412064866341368</v>
      </c>
    </row>
    <row r="47" spans="1:33" outlineLevel="1" x14ac:dyDescent="0.2">
      <c r="A47" s="34">
        <v>2023</v>
      </c>
      <c r="F47" s="35"/>
      <c r="L47" s="35"/>
      <c r="M47" s="35">
        <f t="shared" ref="M47:AF47" si="46">PMT($B$15,$B$18,-$L$28)</f>
        <v>96.736427852286127</v>
      </c>
      <c r="N47" s="35">
        <f t="shared" si="46"/>
        <v>96.736427852286127</v>
      </c>
      <c r="O47" s="35">
        <f t="shared" si="46"/>
        <v>96.736427852286127</v>
      </c>
      <c r="P47" s="35">
        <f t="shared" si="46"/>
        <v>96.736427852286127</v>
      </c>
      <c r="Q47" s="35">
        <f t="shared" si="46"/>
        <v>96.736427852286127</v>
      </c>
      <c r="R47" s="35">
        <f t="shared" si="46"/>
        <v>96.736427852286127</v>
      </c>
      <c r="S47" s="35">
        <f t="shared" si="46"/>
        <v>96.736427852286127</v>
      </c>
      <c r="T47" s="35">
        <f t="shared" si="46"/>
        <v>96.736427852286127</v>
      </c>
      <c r="U47" s="35">
        <f t="shared" si="46"/>
        <v>96.736427852286127</v>
      </c>
      <c r="V47" s="35">
        <f t="shared" si="46"/>
        <v>96.736427852286127</v>
      </c>
      <c r="W47" s="35">
        <f t="shared" si="46"/>
        <v>96.736427852286127</v>
      </c>
      <c r="X47" s="35">
        <f t="shared" si="46"/>
        <v>96.736427852286127</v>
      </c>
      <c r="Y47" s="35">
        <f t="shared" si="46"/>
        <v>96.736427852286127</v>
      </c>
      <c r="Z47" s="35">
        <f t="shared" si="46"/>
        <v>96.736427852286127</v>
      </c>
      <c r="AA47" s="35">
        <f t="shared" si="46"/>
        <v>96.736427852286127</v>
      </c>
      <c r="AB47" s="35">
        <f t="shared" si="46"/>
        <v>96.736427852286127</v>
      </c>
      <c r="AC47" s="35">
        <f t="shared" si="46"/>
        <v>96.736427852286127</v>
      </c>
      <c r="AD47" s="35">
        <f t="shared" si="46"/>
        <v>96.736427852286127</v>
      </c>
      <c r="AE47" s="35">
        <f t="shared" si="46"/>
        <v>96.736427852286127</v>
      </c>
      <c r="AF47" s="35">
        <f t="shared" si="46"/>
        <v>96.736427852286127</v>
      </c>
    </row>
    <row r="48" spans="1:33" x14ac:dyDescent="0.2">
      <c r="A48" s="36" t="s">
        <v>35</v>
      </c>
      <c r="F48" s="37">
        <f>SUM(F49:F56)</f>
        <v>5893.6062670132869</v>
      </c>
      <c r="G48" s="37">
        <f t="shared" ref="G48:AB48" si="47">SUM(G49:G56)</f>
        <v>11516.822895045061</v>
      </c>
      <c r="H48" s="37">
        <f t="shared" si="47"/>
        <v>16865.594039510597</v>
      </c>
      <c r="I48" s="37">
        <f t="shared" si="47"/>
        <v>21935.803018156403</v>
      </c>
      <c r="J48" s="37">
        <f t="shared" si="47"/>
        <v>26723.271398495184</v>
      </c>
      <c r="K48" s="37">
        <f t="shared" si="47"/>
        <v>29230.579277711298</v>
      </c>
      <c r="L48" s="37">
        <f t="shared" si="47"/>
        <v>29139.167212844954</v>
      </c>
      <c r="M48" s="37">
        <f t="shared" si="47"/>
        <v>29042.430784992674</v>
      </c>
      <c r="N48" s="37">
        <f t="shared" si="47"/>
        <v>27258.498031760239</v>
      </c>
      <c r="O48" s="37">
        <f t="shared" si="47"/>
        <v>25447.806287229323</v>
      </c>
      <c r="P48" s="37">
        <f t="shared" si="47"/>
        <v>23609.954166530439</v>
      </c>
      <c r="Q48" s="37">
        <f t="shared" si="47"/>
        <v>21744.53426402108</v>
      </c>
      <c r="R48" s="37">
        <f t="shared" si="47"/>
        <v>19851.133062974073</v>
      </c>
      <c r="S48" s="37">
        <f t="shared" si="47"/>
        <v>17929.330843911361</v>
      </c>
      <c r="T48" s="37">
        <f t="shared" si="47"/>
        <v>15978.701591562714</v>
      </c>
      <c r="U48" s="37">
        <f t="shared" si="47"/>
        <v>13998.812900428835</v>
      </c>
      <c r="V48" s="37">
        <f t="shared" si="47"/>
        <v>11989.225878927948</v>
      </c>
      <c r="W48" s="37">
        <f t="shared" si="47"/>
        <v>9949.4950521045466</v>
      </c>
      <c r="X48" s="37">
        <f t="shared" si="47"/>
        <v>7879.1682628787921</v>
      </c>
      <c r="Y48" s="37">
        <f t="shared" si="47"/>
        <v>5777.7865718146522</v>
      </c>
      <c r="Z48" s="37">
        <f t="shared" si="47"/>
        <v>4003.6778883712686</v>
      </c>
      <c r="AA48" s="37">
        <f t="shared" si="47"/>
        <v>2561.7513076629452</v>
      </c>
      <c r="AB48" s="37">
        <f t="shared" si="47"/>
        <v>1456.9895612307098</v>
      </c>
      <c r="AC48" s="37">
        <f t="shared" ref="AC48" si="48">SUM(AC49:AC56)</f>
        <v>694.45012158870304</v>
      </c>
      <c r="AD48" s="37">
        <f t="shared" ref="AD48" si="49">SUM(AD49:AD56)</f>
        <v>279.26632333877865</v>
      </c>
      <c r="AE48" s="37">
        <f t="shared" ref="AE48" si="50">SUM(AE49:AE56)</f>
        <v>95.306825470232098</v>
      </c>
      <c r="AF48" s="37">
        <f t="shared" ref="AF48" si="51">SUM(AF49:AF56)</f>
        <v>-7.489564524121306E-13</v>
      </c>
      <c r="AG48" s="37">
        <f t="shared" ref="AG48" si="52">SUM(AG49:AG56)</f>
        <v>0</v>
      </c>
    </row>
    <row r="49" spans="1:33" outlineLevel="1" x14ac:dyDescent="0.2">
      <c r="A49" s="34">
        <v>2016</v>
      </c>
      <c r="F49" s="35">
        <f>E28*$B$9-F40+F58</f>
        <v>5893.6062670132869</v>
      </c>
      <c r="G49" s="35">
        <f>F49-G40+$B$15*F49</f>
        <v>5623.2166280317733</v>
      </c>
      <c r="H49" s="35">
        <f>G49-H40+$B$15*G49</f>
        <v>5348.771144465537</v>
      </c>
      <c r="I49" s="35">
        <f t="shared" ref="I49:Q49" si="53">H49-I40+$B$15*H49</f>
        <v>5070.2089786458073</v>
      </c>
      <c r="J49" s="35">
        <f t="shared" si="53"/>
        <v>4787.4683803387816</v>
      </c>
      <c r="K49" s="35">
        <f t="shared" si="53"/>
        <v>4500.4866730571503</v>
      </c>
      <c r="L49" s="35">
        <f t="shared" si="53"/>
        <v>4209.2002401662949</v>
      </c>
      <c r="M49" s="35">
        <f t="shared" si="53"/>
        <v>3913.5445107820769</v>
      </c>
      <c r="N49" s="35">
        <f t="shared" si="53"/>
        <v>3613.4539454570959</v>
      </c>
      <c r="O49" s="35">
        <f t="shared" si="53"/>
        <v>3308.8620216522399</v>
      </c>
      <c r="P49" s="35">
        <f t="shared" si="53"/>
        <v>2999.7012189903112</v>
      </c>
      <c r="Q49" s="35">
        <f t="shared" si="53"/>
        <v>2685.9030042884538</v>
      </c>
      <c r="R49" s="35">
        <f t="shared" ref="R49" si="54">Q49-R40+$B$15*Q49</f>
        <v>2367.3978163660681</v>
      </c>
      <c r="S49" s="35">
        <f t="shared" ref="S49:T49" si="55">R49-S40+$B$15*R49</f>
        <v>2044.1150506248468</v>
      </c>
      <c r="T49" s="35">
        <f t="shared" si="55"/>
        <v>1715.9830433975073</v>
      </c>
      <c r="U49" s="35">
        <f t="shared" ref="U49" si="56">T49-U40+$B$15*T49</f>
        <v>1382.9290560617574</v>
      </c>
      <c r="V49" s="35">
        <f t="shared" ref="V49:V50" si="57">U49-V40+$B$15*U49</f>
        <v>1044.8792589159714</v>
      </c>
      <c r="W49" s="35">
        <f t="shared" ref="W49:W51" si="58">V49-W40+$B$15*V49</f>
        <v>701.75871481299862</v>
      </c>
      <c r="X49" s="35">
        <f t="shared" ref="X49:X52" si="59">W49-X40+$B$15*W49</f>
        <v>353.49136254848122</v>
      </c>
      <c r="Y49" s="35">
        <f t="shared" ref="Y49:Y53" si="60">X49-Y40+$B$15*X49</f>
        <v>-3.9328540424321545E-12</v>
      </c>
    </row>
    <row r="50" spans="1:33" outlineLevel="1" x14ac:dyDescent="0.2">
      <c r="A50" s="34">
        <v>2017</v>
      </c>
      <c r="F50" s="35"/>
      <c r="G50" s="35">
        <f>F28*$B$9-G41+$G59</f>
        <v>5893.6062670132869</v>
      </c>
      <c r="H50" s="35">
        <f t="shared" ref="H50:U50" si="61">G50-H41+$B$15*G50</f>
        <v>5623.2166280317733</v>
      </c>
      <c r="I50" s="35">
        <f t="shared" si="61"/>
        <v>5348.771144465537</v>
      </c>
      <c r="J50" s="35">
        <f t="shared" si="61"/>
        <v>5070.2089786458073</v>
      </c>
      <c r="K50" s="35">
        <f t="shared" si="61"/>
        <v>4787.4683803387816</v>
      </c>
      <c r="L50" s="35">
        <f t="shared" si="61"/>
        <v>4500.4866730571503</v>
      </c>
      <c r="M50" s="35">
        <f t="shared" si="61"/>
        <v>4209.2002401662949</v>
      </c>
      <c r="N50" s="35">
        <f t="shared" si="61"/>
        <v>3913.5445107820769</v>
      </c>
      <c r="O50" s="35">
        <f t="shared" si="61"/>
        <v>3613.4539454570959</v>
      </c>
      <c r="P50" s="35">
        <f t="shared" si="61"/>
        <v>3308.8620216522399</v>
      </c>
      <c r="Q50" s="35">
        <f t="shared" si="61"/>
        <v>2999.7012189903112</v>
      </c>
      <c r="R50" s="35">
        <f t="shared" si="61"/>
        <v>2685.9030042884538</v>
      </c>
      <c r="S50" s="35">
        <f t="shared" si="61"/>
        <v>2367.3978163660681</v>
      </c>
      <c r="T50" s="35">
        <f t="shared" si="61"/>
        <v>2044.1150506248468</v>
      </c>
      <c r="U50" s="35">
        <f t="shared" si="61"/>
        <v>1715.9830433975073</v>
      </c>
      <c r="V50" s="35">
        <f t="shared" si="57"/>
        <v>1382.9290560617574</v>
      </c>
      <c r="W50" s="35">
        <f t="shared" si="58"/>
        <v>1044.8792589159714</v>
      </c>
      <c r="X50" s="35">
        <f t="shared" si="59"/>
        <v>701.75871481299862</v>
      </c>
      <c r="Y50" s="35">
        <f t="shared" si="60"/>
        <v>353.49136254848122</v>
      </c>
      <c r="Z50" s="35">
        <f t="shared" ref="Z50:Z54" si="62">Y50-Z41+$B$15*Y50</f>
        <v>-3.9328540424321545E-12</v>
      </c>
    </row>
    <row r="51" spans="1:33" outlineLevel="1" x14ac:dyDescent="0.2">
      <c r="A51" s="34">
        <v>2018</v>
      </c>
      <c r="F51" s="35"/>
      <c r="H51" s="35">
        <f>G$28*$B$9-H42+H60</f>
        <v>5893.6062670132869</v>
      </c>
      <c r="I51" s="35">
        <f t="shared" ref="I51:V51" si="63">H51-I42+$B$15*H51</f>
        <v>5623.2166280317733</v>
      </c>
      <c r="J51" s="35">
        <f t="shared" si="63"/>
        <v>5348.771144465537</v>
      </c>
      <c r="K51" s="35">
        <f t="shared" si="63"/>
        <v>5070.2089786458073</v>
      </c>
      <c r="L51" s="35">
        <f t="shared" si="63"/>
        <v>4787.4683803387816</v>
      </c>
      <c r="M51" s="35">
        <f t="shared" si="63"/>
        <v>4500.4866730571503</v>
      </c>
      <c r="N51" s="35">
        <f t="shared" si="63"/>
        <v>4209.2002401662949</v>
      </c>
      <c r="O51" s="35">
        <f t="shared" si="63"/>
        <v>3913.5445107820769</v>
      </c>
      <c r="P51" s="35">
        <f t="shared" si="63"/>
        <v>3613.4539454570959</v>
      </c>
      <c r="Q51" s="35">
        <f t="shared" si="63"/>
        <v>3308.8620216522399</v>
      </c>
      <c r="R51" s="35">
        <f t="shared" si="63"/>
        <v>2999.7012189903112</v>
      </c>
      <c r="S51" s="35">
        <f t="shared" si="63"/>
        <v>2685.9030042884538</v>
      </c>
      <c r="T51" s="35">
        <f t="shared" si="63"/>
        <v>2367.3978163660681</v>
      </c>
      <c r="U51" s="35">
        <f t="shared" si="63"/>
        <v>2044.1150506248468</v>
      </c>
      <c r="V51" s="35">
        <f t="shared" si="63"/>
        <v>1715.9830433975073</v>
      </c>
      <c r="W51" s="35">
        <f t="shared" si="58"/>
        <v>1382.9290560617574</v>
      </c>
      <c r="X51" s="35">
        <f t="shared" si="59"/>
        <v>1044.8792589159714</v>
      </c>
      <c r="Y51" s="35">
        <f t="shared" si="60"/>
        <v>701.75871481299862</v>
      </c>
      <c r="Z51" s="35">
        <f t="shared" si="62"/>
        <v>353.49136254848122</v>
      </c>
      <c r="AA51" s="35">
        <f t="shared" ref="AA51:AA55" si="64">Z51-AA42+$B$15*Z51</f>
        <v>-3.9328540424321545E-12</v>
      </c>
    </row>
    <row r="52" spans="1:33" outlineLevel="1" x14ac:dyDescent="0.2">
      <c r="A52" s="34">
        <v>2019</v>
      </c>
      <c r="F52" s="35"/>
      <c r="I52" s="35">
        <f>H$28*$B$9-I43+I61</f>
        <v>5893.6062670132869</v>
      </c>
      <c r="J52" s="35">
        <f t="shared" ref="J52:W52" si="65">I52-J43+$B$15*I52</f>
        <v>5623.2166280317733</v>
      </c>
      <c r="K52" s="35">
        <f t="shared" si="65"/>
        <v>5348.771144465537</v>
      </c>
      <c r="L52" s="35">
        <f t="shared" si="65"/>
        <v>5070.2089786458073</v>
      </c>
      <c r="M52" s="35">
        <f t="shared" si="65"/>
        <v>4787.4683803387816</v>
      </c>
      <c r="N52" s="35">
        <f t="shared" si="65"/>
        <v>4500.4866730571503</v>
      </c>
      <c r="O52" s="35">
        <f t="shared" si="65"/>
        <v>4209.2002401662949</v>
      </c>
      <c r="P52" s="35">
        <f t="shared" si="65"/>
        <v>3913.5445107820769</v>
      </c>
      <c r="Q52" s="35">
        <f t="shared" si="65"/>
        <v>3613.4539454570959</v>
      </c>
      <c r="R52" s="35">
        <f t="shared" si="65"/>
        <v>3308.8620216522399</v>
      </c>
      <c r="S52" s="35">
        <f t="shared" si="65"/>
        <v>2999.7012189903112</v>
      </c>
      <c r="T52" s="35">
        <f t="shared" si="65"/>
        <v>2685.9030042884538</v>
      </c>
      <c r="U52" s="35">
        <f t="shared" si="65"/>
        <v>2367.3978163660681</v>
      </c>
      <c r="V52" s="35">
        <f t="shared" si="65"/>
        <v>2044.1150506248468</v>
      </c>
      <c r="W52" s="35">
        <f t="shared" si="65"/>
        <v>1715.9830433975073</v>
      </c>
      <c r="X52" s="35">
        <f t="shared" si="59"/>
        <v>1382.9290560617574</v>
      </c>
      <c r="Y52" s="35">
        <f t="shared" si="60"/>
        <v>1044.8792589159714</v>
      </c>
      <c r="Z52" s="35">
        <f t="shared" si="62"/>
        <v>701.75871481299862</v>
      </c>
      <c r="AA52" s="35">
        <f t="shared" si="64"/>
        <v>353.49136254848122</v>
      </c>
      <c r="AB52" s="35">
        <f t="shared" ref="AB52:AB56" si="66">AA52-AB43+$B$15*AA52</f>
        <v>-3.9328540424321545E-12</v>
      </c>
    </row>
    <row r="53" spans="1:33" outlineLevel="1" x14ac:dyDescent="0.2">
      <c r="A53" s="34">
        <v>2020</v>
      </c>
      <c r="F53" s="35"/>
      <c r="J53" s="35">
        <f>I$28*$B$9-J44+J62</f>
        <v>5893.6062670132869</v>
      </c>
      <c r="K53" s="35">
        <f t="shared" ref="K53:X53" si="67">J53-K44+$B$15*J53</f>
        <v>5623.2166280317733</v>
      </c>
      <c r="L53" s="35">
        <f t="shared" si="67"/>
        <v>5348.771144465537</v>
      </c>
      <c r="M53" s="35">
        <f t="shared" si="67"/>
        <v>5070.2089786458073</v>
      </c>
      <c r="N53" s="35">
        <f t="shared" si="67"/>
        <v>4787.4683803387816</v>
      </c>
      <c r="O53" s="35">
        <f t="shared" si="67"/>
        <v>4500.4866730571503</v>
      </c>
      <c r="P53" s="35">
        <f t="shared" si="67"/>
        <v>4209.2002401662949</v>
      </c>
      <c r="Q53" s="35">
        <f t="shared" si="67"/>
        <v>3913.5445107820769</v>
      </c>
      <c r="R53" s="35">
        <f t="shared" si="67"/>
        <v>3613.4539454570959</v>
      </c>
      <c r="S53" s="35">
        <f t="shared" si="67"/>
        <v>3308.8620216522399</v>
      </c>
      <c r="T53" s="35">
        <f t="shared" si="67"/>
        <v>2999.7012189903112</v>
      </c>
      <c r="U53" s="35">
        <f t="shared" si="67"/>
        <v>2685.9030042884538</v>
      </c>
      <c r="V53" s="35">
        <f t="shared" si="67"/>
        <v>2367.3978163660681</v>
      </c>
      <c r="W53" s="35">
        <f t="shared" si="67"/>
        <v>2044.1150506248468</v>
      </c>
      <c r="X53" s="35">
        <f t="shared" si="67"/>
        <v>1715.9830433975073</v>
      </c>
      <c r="Y53" s="35">
        <f t="shared" si="60"/>
        <v>1382.9290560617574</v>
      </c>
      <c r="Z53" s="35">
        <f t="shared" si="62"/>
        <v>1044.8792589159714</v>
      </c>
      <c r="AA53" s="35">
        <f t="shared" si="64"/>
        <v>701.75871481299862</v>
      </c>
      <c r="AB53" s="35">
        <f t="shared" si="66"/>
        <v>353.49136254848122</v>
      </c>
      <c r="AC53" s="35">
        <f t="shared" ref="AC53:AC56" si="68">AB53-AC44+$B$15*AB53</f>
        <v>-3.9328540424321545E-12</v>
      </c>
    </row>
    <row r="54" spans="1:33" outlineLevel="1" x14ac:dyDescent="0.2">
      <c r="A54" s="34">
        <v>2021</v>
      </c>
      <c r="F54" s="35"/>
      <c r="K54" s="35">
        <f>J$28-K45+J$28*$B$15</f>
        <v>3900.4274731722498</v>
      </c>
      <c r="L54" s="35">
        <f t="shared" ref="L54:Y54" si="69">K54-L45+$B$15*K54</f>
        <v>3721.4818279147021</v>
      </c>
      <c r="M54" s="35">
        <f t="shared" si="69"/>
        <v>3539.8519979782909</v>
      </c>
      <c r="N54" s="35">
        <f t="shared" si="69"/>
        <v>3355.497720592834</v>
      </c>
      <c r="O54" s="35">
        <f t="shared" si="69"/>
        <v>3168.3781290465954</v>
      </c>
      <c r="P54" s="35">
        <f t="shared" si="69"/>
        <v>2978.4517436271631</v>
      </c>
      <c r="Q54" s="35">
        <f t="shared" si="69"/>
        <v>2785.6764624264392</v>
      </c>
      <c r="R54" s="35">
        <f t="shared" si="69"/>
        <v>2590.0095520077048</v>
      </c>
      <c r="S54" s="35">
        <f t="shared" si="69"/>
        <v>2391.4076379326884</v>
      </c>
      <c r="T54" s="35">
        <f t="shared" si="69"/>
        <v>2189.8266951465475</v>
      </c>
      <c r="U54" s="35">
        <f t="shared" si="69"/>
        <v>1985.2220382186142</v>
      </c>
      <c r="V54" s="35">
        <f t="shared" si="69"/>
        <v>1777.5483114367619</v>
      </c>
      <c r="W54" s="35">
        <f t="shared" si="69"/>
        <v>1566.7594787531818</v>
      </c>
      <c r="X54" s="35">
        <f t="shared" si="69"/>
        <v>1352.808813579348</v>
      </c>
      <c r="Y54" s="35">
        <f t="shared" si="69"/>
        <v>1135.6488884279067</v>
      </c>
      <c r="Z54" s="35">
        <f t="shared" si="62"/>
        <v>915.23156439919387</v>
      </c>
      <c r="AA54" s="35">
        <f t="shared" si="64"/>
        <v>691.50798051005029</v>
      </c>
      <c r="AB54" s="35">
        <f t="shared" si="66"/>
        <v>464.42854286256954</v>
      </c>
      <c r="AC54" s="35">
        <f t="shared" si="68"/>
        <v>233.9429136503766</v>
      </c>
      <c r="AD54" s="35">
        <f t="shared" ref="AD54:AD56" si="70">AC54-AD45+$B$15*AC54</f>
        <v>7.4384942649885488E-13</v>
      </c>
    </row>
    <row r="55" spans="1:33" outlineLevel="1" x14ac:dyDescent="0.2">
      <c r="A55" s="34">
        <v>2022</v>
      </c>
      <c r="F55" s="35"/>
      <c r="L55" s="35">
        <f>K$28-L46+K$28*$B$15</f>
        <v>1501.5499682566826</v>
      </c>
      <c r="M55" s="35">
        <f t="shared" ref="M55:Z55" si="71">L55-M46+$B$15*L55</f>
        <v>1432.6611529141915</v>
      </c>
      <c r="N55" s="35">
        <f t="shared" si="71"/>
        <v>1362.7390053415629</v>
      </c>
      <c r="O55" s="35">
        <f t="shared" si="71"/>
        <v>1291.768025555345</v>
      </c>
      <c r="P55" s="35">
        <f t="shared" si="71"/>
        <v>1219.7324810723339</v>
      </c>
      <c r="Q55" s="35">
        <f t="shared" si="71"/>
        <v>1146.6164034220776</v>
      </c>
      <c r="R55" s="35">
        <f t="shared" si="71"/>
        <v>1072.4035846070674</v>
      </c>
      <c r="S55" s="35">
        <f t="shared" si="71"/>
        <v>997.07757350983206</v>
      </c>
      <c r="T55" s="35">
        <f t="shared" si="71"/>
        <v>920.62167224613825</v>
      </c>
      <c r="U55" s="35">
        <f t="shared" si="71"/>
        <v>843.01893246348902</v>
      </c>
      <c r="V55" s="35">
        <f t="shared" si="71"/>
        <v>764.25215158410003</v>
      </c>
      <c r="W55" s="35">
        <f t="shared" si="71"/>
        <v>684.30386899152018</v>
      </c>
      <c r="X55" s="35">
        <f t="shared" si="71"/>
        <v>603.15636216005169</v>
      </c>
      <c r="Y55" s="35">
        <f t="shared" si="71"/>
        <v>520.79164272611104</v>
      </c>
      <c r="Z55" s="35">
        <f t="shared" si="71"/>
        <v>437.19145250066134</v>
      </c>
      <c r="AA55" s="35">
        <f t="shared" si="64"/>
        <v>352.33725942182986</v>
      </c>
      <c r="AB55" s="35">
        <f t="shared" si="66"/>
        <v>266.2102534468159</v>
      </c>
      <c r="AC55" s="35">
        <f t="shared" si="68"/>
        <v>178.79134238217677</v>
      </c>
      <c r="AD55" s="35">
        <f t="shared" si="70"/>
        <v>90.061147651568049</v>
      </c>
      <c r="AE55" s="35">
        <f t="shared" ref="AE55:AE56" si="72">AD55-AE46+$B$15*AD55</f>
        <v>2.0250467969162855E-13</v>
      </c>
    </row>
    <row r="56" spans="1:33" outlineLevel="1" x14ac:dyDescent="0.2">
      <c r="A56" s="34">
        <v>2023</v>
      </c>
      <c r="F56" s="35"/>
      <c r="L56" s="35"/>
      <c r="M56" s="35">
        <f>L$28-M47+L$28*$B$15</f>
        <v>1589.0088511100787</v>
      </c>
      <c r="N56" s="35">
        <f t="shared" ref="N56:AA56" si="73">M56-N47+$B$15*M56</f>
        <v>1516.1075560244437</v>
      </c>
      <c r="O56" s="35">
        <f t="shared" si="73"/>
        <v>1442.1127415125243</v>
      </c>
      <c r="P56" s="35">
        <f t="shared" si="73"/>
        <v>1367.008004782926</v>
      </c>
      <c r="Q56" s="35">
        <f t="shared" si="73"/>
        <v>1290.7766970023838</v>
      </c>
      <c r="R56" s="35">
        <f t="shared" si="73"/>
        <v>1213.4019196051333</v>
      </c>
      <c r="S56" s="35">
        <f t="shared" si="73"/>
        <v>1134.8665205469242</v>
      </c>
      <c r="T56" s="35">
        <f t="shared" si="73"/>
        <v>1055.1530905028419</v>
      </c>
      <c r="U56" s="35">
        <f t="shared" si="73"/>
        <v>974.24395900809839</v>
      </c>
      <c r="V56" s="35">
        <f t="shared" si="73"/>
        <v>892.12119054093364</v>
      </c>
      <c r="W56" s="35">
        <f t="shared" si="73"/>
        <v>808.76658054676147</v>
      </c>
      <c r="X56" s="35">
        <f t="shared" si="73"/>
        <v>724.16165140267674</v>
      </c>
      <c r="Y56" s="35">
        <f t="shared" si="73"/>
        <v>638.28764832143077</v>
      </c>
      <c r="Z56" s="35">
        <f t="shared" si="73"/>
        <v>551.12553519396602</v>
      </c>
      <c r="AA56" s="35">
        <f t="shared" si="73"/>
        <v>462.6559903695894</v>
      </c>
      <c r="AB56" s="35">
        <f t="shared" si="66"/>
        <v>372.85940237284711</v>
      </c>
      <c r="AC56" s="35">
        <f t="shared" si="68"/>
        <v>281.71586555615369</v>
      </c>
      <c r="AD56" s="35">
        <f t="shared" si="70"/>
        <v>189.20517568720987</v>
      </c>
      <c r="AE56" s="35">
        <f t="shared" si="72"/>
        <v>95.3068254702319</v>
      </c>
      <c r="AF56" s="35">
        <f t="shared" ref="AF56" si="74">AE56-AF47+$B$15*AE56</f>
        <v>-7.489564524121306E-13</v>
      </c>
    </row>
    <row r="57" spans="1:33" s="33" customFormat="1" x14ac:dyDescent="0.2">
      <c r="A57" s="36" t="s">
        <v>46</v>
      </c>
      <c r="F57" s="37">
        <f>SUM(F58:F65)</f>
        <v>92.399999999999991</v>
      </c>
      <c r="G57" s="37">
        <f t="shared" ref="G57:AB57" si="75">SUM(G58:G65)</f>
        <v>180.80409400519929</v>
      </c>
      <c r="H57" s="37">
        <f t="shared" si="75"/>
        <v>265.15234342567589</v>
      </c>
      <c r="I57" s="37">
        <f t="shared" si="75"/>
        <v>345.38391059265894</v>
      </c>
      <c r="J57" s="37">
        <f t="shared" si="75"/>
        <v>421.43704527234598</v>
      </c>
      <c r="K57" s="37">
        <f t="shared" si="75"/>
        <v>461.99999999999989</v>
      </c>
      <c r="L57" s="37">
        <f t="shared" si="75"/>
        <v>461.99999999999983</v>
      </c>
      <c r="M57" s="37">
        <f t="shared" si="75"/>
        <v>461.99999999999994</v>
      </c>
      <c r="N57" s="37">
        <f t="shared" si="75"/>
        <v>435.63646177489011</v>
      </c>
      <c r="O57" s="37">
        <f t="shared" si="75"/>
        <v>408.87747047640357</v>
      </c>
      <c r="P57" s="37">
        <f t="shared" si="75"/>
        <v>381.71709430843981</v>
      </c>
      <c r="Q57" s="37">
        <f t="shared" si="75"/>
        <v>354.1493124979566</v>
      </c>
      <c r="R57" s="37">
        <f t="shared" si="75"/>
        <v>326.16801396031622</v>
      </c>
      <c r="S57" s="37">
        <f t="shared" si="75"/>
        <v>297.7669959446111</v>
      </c>
      <c r="T57" s="37">
        <f t="shared" si="75"/>
        <v>268.93996265867048</v>
      </c>
      <c r="U57" s="37">
        <f t="shared" si="75"/>
        <v>239.68052387344071</v>
      </c>
      <c r="V57" s="37">
        <f t="shared" si="75"/>
        <v>209.98219350643254</v>
      </c>
      <c r="W57" s="37">
        <f t="shared" si="75"/>
        <v>179.83838818391919</v>
      </c>
      <c r="X57" s="37">
        <f t="shared" si="75"/>
        <v>149.24242578156819</v>
      </c>
      <c r="Y57" s="37">
        <f t="shared" si="75"/>
        <v>118.18752394318187</v>
      </c>
      <c r="Z57" s="37">
        <f t="shared" si="75"/>
        <v>86.666798577219794</v>
      </c>
      <c r="AA57" s="37">
        <f t="shared" si="75"/>
        <v>60.055168325569028</v>
      </c>
      <c r="AB57" s="37">
        <f t="shared" si="75"/>
        <v>38.426269614944182</v>
      </c>
      <c r="AC57" s="37">
        <f t="shared" ref="AC57" si="76">SUM(AC58:AC65)</f>
        <v>21.854843418460646</v>
      </c>
      <c r="AD57" s="37">
        <f t="shared" ref="AD57" si="77">SUM(AD58:AD65)</f>
        <v>10.416751823830545</v>
      </c>
      <c r="AE57" s="37">
        <f t="shared" ref="AE57" si="78">SUM(AE58:AE65)</f>
        <v>4.1889948500816798</v>
      </c>
      <c r="AF57" s="37">
        <f t="shared" ref="AF57:AG57" si="79">SUM(AF58:AF65)</f>
        <v>1.4296023820534816</v>
      </c>
      <c r="AG57" s="37">
        <f t="shared" si="79"/>
        <v>-1.1234346786181959E-14</v>
      </c>
    </row>
    <row r="58" spans="1:33" outlineLevel="1" x14ac:dyDescent="0.2">
      <c r="A58" s="34">
        <v>2016</v>
      </c>
      <c r="F58" s="35">
        <f>E28*$B$15*$B$9</f>
        <v>92.399999999999991</v>
      </c>
      <c r="G58" s="35">
        <f>$B$15*F49</f>
        <v>88.404094005199298</v>
      </c>
      <c r="H58" s="35">
        <f>$B$15*G49</f>
        <v>84.348249420476591</v>
      </c>
      <c r="I58" s="35">
        <f t="shared" ref="I58:U58" si="80">$B$15*H49</f>
        <v>80.231567166983055</v>
      </c>
      <c r="J58" s="35">
        <f t="shared" si="80"/>
        <v>76.053134679687105</v>
      </c>
      <c r="K58" s="35">
        <f t="shared" si="80"/>
        <v>71.812025705081723</v>
      </c>
      <c r="L58" s="35">
        <f t="shared" si="80"/>
        <v>67.507300095857246</v>
      </c>
      <c r="M58" s="35">
        <f t="shared" si="80"/>
        <v>63.138003602494422</v>
      </c>
      <c r="N58" s="35">
        <f t="shared" si="80"/>
        <v>58.70316766173115</v>
      </c>
      <c r="O58" s="35">
        <f t="shared" si="80"/>
        <v>54.201809181856433</v>
      </c>
      <c r="P58" s="35">
        <f t="shared" si="80"/>
        <v>49.632930324783601</v>
      </c>
      <c r="Q58" s="35">
        <f t="shared" si="80"/>
        <v>44.995518284854668</v>
      </c>
      <c r="R58" s="35">
        <f t="shared" si="80"/>
        <v>40.288545064326804</v>
      </c>
      <c r="S58" s="35">
        <f t="shared" si="80"/>
        <v>35.510967245491024</v>
      </c>
      <c r="T58" s="35">
        <f t="shared" si="80"/>
        <v>30.6617257593727</v>
      </c>
      <c r="U58" s="35">
        <f t="shared" si="80"/>
        <v>25.739745650962607</v>
      </c>
      <c r="V58" s="35">
        <f t="shared" ref="V58" si="81">$B$15*U49</f>
        <v>20.743935840926358</v>
      </c>
      <c r="W58" s="35">
        <f t="shared" ref="W58:W59" si="82">$B$15*V49</f>
        <v>15.67318888373957</v>
      </c>
      <c r="X58" s="35">
        <f t="shared" ref="X58:X59" si="83">$B$15*W49</f>
        <v>10.526380722194979</v>
      </c>
      <c r="Y58" s="35">
        <f t="shared" ref="Y58:Y59" si="84">$B$15*X49</f>
        <v>5.3023704382272179</v>
      </c>
      <c r="Z58" s="35">
        <f t="shared" ref="Z58:Z59" si="85">$B$15*Y49</f>
        <v>-5.8992810636482319E-14</v>
      </c>
      <c r="AA58" s="35"/>
    </row>
    <row r="59" spans="1:33" outlineLevel="1" x14ac:dyDescent="0.2">
      <c r="A59" s="34">
        <v>2017</v>
      </c>
      <c r="F59" s="35"/>
      <c r="G59" s="35">
        <f>F$28*$B$15*$B$9</f>
        <v>92.399999999999991</v>
      </c>
      <c r="H59" s="35">
        <f>$B$15*G50</f>
        <v>88.404094005199298</v>
      </c>
      <c r="I59" s="35">
        <f t="shared" ref="I59:V59" si="86">$B$15*H50</f>
        <v>84.348249420476591</v>
      </c>
      <c r="J59" s="35">
        <f t="shared" si="86"/>
        <v>80.231567166983055</v>
      </c>
      <c r="K59" s="35">
        <f t="shared" si="86"/>
        <v>76.053134679687105</v>
      </c>
      <c r="L59" s="35">
        <f t="shared" si="86"/>
        <v>71.812025705081723</v>
      </c>
      <c r="M59" s="35">
        <f t="shared" si="86"/>
        <v>67.507300095857246</v>
      </c>
      <c r="N59" s="35">
        <f t="shared" si="86"/>
        <v>63.138003602494422</v>
      </c>
      <c r="O59" s="35">
        <f t="shared" si="86"/>
        <v>58.70316766173115</v>
      </c>
      <c r="P59" s="35">
        <f t="shared" si="86"/>
        <v>54.201809181856433</v>
      </c>
      <c r="Q59" s="35">
        <f t="shared" si="86"/>
        <v>49.632930324783601</v>
      </c>
      <c r="R59" s="35">
        <f t="shared" si="86"/>
        <v>44.995518284854668</v>
      </c>
      <c r="S59" s="35">
        <f t="shared" si="86"/>
        <v>40.288545064326804</v>
      </c>
      <c r="T59" s="35">
        <f t="shared" si="86"/>
        <v>35.510967245491024</v>
      </c>
      <c r="U59" s="35">
        <f t="shared" si="86"/>
        <v>30.6617257593727</v>
      </c>
      <c r="V59" s="35">
        <f t="shared" si="86"/>
        <v>25.739745650962607</v>
      </c>
      <c r="W59" s="35">
        <f t="shared" si="82"/>
        <v>20.743935840926358</v>
      </c>
      <c r="X59" s="35">
        <f t="shared" si="83"/>
        <v>15.67318888373957</v>
      </c>
      <c r="Y59" s="35">
        <f t="shared" si="84"/>
        <v>10.526380722194979</v>
      </c>
      <c r="Z59" s="35">
        <f t="shared" si="85"/>
        <v>5.3023704382272179</v>
      </c>
      <c r="AA59" s="35">
        <f t="shared" ref="AA59" si="87">$B$15*Z50</f>
        <v>-5.8992810636482319E-14</v>
      </c>
    </row>
    <row r="60" spans="1:33" outlineLevel="1" x14ac:dyDescent="0.2">
      <c r="A60" s="34">
        <v>2018</v>
      </c>
      <c r="F60" s="35"/>
      <c r="H60" s="35">
        <f>G$28*$B$15*$B$9</f>
        <v>92.399999999999991</v>
      </c>
      <c r="I60" s="35">
        <f>$B$15*H51</f>
        <v>88.404094005199298</v>
      </c>
      <c r="J60" s="35">
        <f t="shared" ref="J60:W60" si="88">$B$15*I51</f>
        <v>84.348249420476591</v>
      </c>
      <c r="K60" s="35">
        <f t="shared" si="88"/>
        <v>80.231567166983055</v>
      </c>
      <c r="L60" s="35">
        <f t="shared" si="88"/>
        <v>76.053134679687105</v>
      </c>
      <c r="M60" s="35">
        <f t="shared" si="88"/>
        <v>71.812025705081723</v>
      </c>
      <c r="N60" s="35">
        <f t="shared" si="88"/>
        <v>67.507300095857246</v>
      </c>
      <c r="O60" s="35">
        <f t="shared" si="88"/>
        <v>63.138003602494422</v>
      </c>
      <c r="P60" s="35">
        <f t="shared" si="88"/>
        <v>58.70316766173115</v>
      </c>
      <c r="Q60" s="35">
        <f t="shared" si="88"/>
        <v>54.201809181856433</v>
      </c>
      <c r="R60" s="35">
        <f t="shared" si="88"/>
        <v>49.632930324783601</v>
      </c>
      <c r="S60" s="35">
        <f t="shared" si="88"/>
        <v>44.995518284854668</v>
      </c>
      <c r="T60" s="35">
        <f t="shared" si="88"/>
        <v>40.288545064326804</v>
      </c>
      <c r="U60" s="35">
        <f t="shared" si="88"/>
        <v>35.510967245491024</v>
      </c>
      <c r="V60" s="35">
        <f t="shared" si="88"/>
        <v>30.6617257593727</v>
      </c>
      <c r="W60" s="35">
        <f t="shared" si="88"/>
        <v>25.739745650962607</v>
      </c>
      <c r="X60" s="35">
        <f t="shared" ref="X60" si="89">$B$15*W51</f>
        <v>20.743935840926358</v>
      </c>
      <c r="Y60" s="35">
        <f t="shared" ref="Y60:Y61" si="90">$B$15*X51</f>
        <v>15.67318888373957</v>
      </c>
      <c r="Z60" s="35">
        <f t="shared" ref="Z60:Z62" si="91">$B$15*Y51</f>
        <v>10.526380722194979</v>
      </c>
      <c r="AA60" s="35">
        <f t="shared" ref="AA60:AB64" si="92">$B$15*Z51</f>
        <v>5.3023704382272179</v>
      </c>
      <c r="AB60" s="35">
        <f t="shared" si="92"/>
        <v>-5.8992810636482319E-14</v>
      </c>
    </row>
    <row r="61" spans="1:33" outlineLevel="1" x14ac:dyDescent="0.2">
      <c r="A61" s="34">
        <v>2019</v>
      </c>
      <c r="F61" s="35"/>
      <c r="I61" s="35">
        <f>H$28*$B$15*$B$9</f>
        <v>92.399999999999991</v>
      </c>
      <c r="J61" s="35">
        <f>$B$15*I52</f>
        <v>88.404094005199298</v>
      </c>
      <c r="K61" s="35">
        <f t="shared" ref="K61:X61" si="93">$B$15*J52</f>
        <v>84.348249420476591</v>
      </c>
      <c r="L61" s="35">
        <f t="shared" si="93"/>
        <v>80.231567166983055</v>
      </c>
      <c r="M61" s="35">
        <f t="shared" si="93"/>
        <v>76.053134679687105</v>
      </c>
      <c r="N61" s="35">
        <f t="shared" si="93"/>
        <v>71.812025705081723</v>
      </c>
      <c r="O61" s="35">
        <f t="shared" si="93"/>
        <v>67.507300095857246</v>
      </c>
      <c r="P61" s="35">
        <f t="shared" si="93"/>
        <v>63.138003602494422</v>
      </c>
      <c r="Q61" s="35">
        <f t="shared" si="93"/>
        <v>58.70316766173115</v>
      </c>
      <c r="R61" s="35">
        <f t="shared" si="93"/>
        <v>54.201809181856433</v>
      </c>
      <c r="S61" s="35">
        <f t="shared" si="93"/>
        <v>49.632930324783601</v>
      </c>
      <c r="T61" s="35">
        <f t="shared" si="93"/>
        <v>44.995518284854668</v>
      </c>
      <c r="U61" s="35">
        <f t="shared" si="93"/>
        <v>40.288545064326804</v>
      </c>
      <c r="V61" s="35">
        <f t="shared" si="93"/>
        <v>35.510967245491024</v>
      </c>
      <c r="W61" s="35">
        <f t="shared" si="93"/>
        <v>30.6617257593727</v>
      </c>
      <c r="X61" s="35">
        <f t="shared" si="93"/>
        <v>25.739745650962607</v>
      </c>
      <c r="Y61" s="35">
        <f t="shared" si="90"/>
        <v>20.743935840926358</v>
      </c>
      <c r="Z61" s="35">
        <f t="shared" si="91"/>
        <v>15.67318888373957</v>
      </c>
      <c r="AA61" s="35">
        <f t="shared" si="92"/>
        <v>10.526380722194979</v>
      </c>
      <c r="AB61" s="35">
        <f t="shared" si="92"/>
        <v>5.3023704382272179</v>
      </c>
      <c r="AC61" s="35">
        <f t="shared" ref="AC61:AC65" si="94">$B$15*AB52</f>
        <v>-5.8992810636482319E-14</v>
      </c>
    </row>
    <row r="62" spans="1:33" outlineLevel="1" x14ac:dyDescent="0.2">
      <c r="A62" s="34">
        <v>2020</v>
      </c>
      <c r="F62" s="35"/>
      <c r="J62" s="35">
        <f>I$28*$B$15*$B$9</f>
        <v>92.399999999999991</v>
      </c>
      <c r="K62" s="35">
        <f>$B$15*J53</f>
        <v>88.404094005199298</v>
      </c>
      <c r="L62" s="35">
        <f t="shared" ref="L62:Y62" si="95">$B$15*K53</f>
        <v>84.348249420476591</v>
      </c>
      <c r="M62" s="35">
        <f t="shared" si="95"/>
        <v>80.231567166983055</v>
      </c>
      <c r="N62" s="35">
        <f t="shared" si="95"/>
        <v>76.053134679687105</v>
      </c>
      <c r="O62" s="35">
        <f t="shared" si="95"/>
        <v>71.812025705081723</v>
      </c>
      <c r="P62" s="35">
        <f t="shared" si="95"/>
        <v>67.507300095857246</v>
      </c>
      <c r="Q62" s="35">
        <f t="shared" si="95"/>
        <v>63.138003602494422</v>
      </c>
      <c r="R62" s="35">
        <f t="shared" si="95"/>
        <v>58.70316766173115</v>
      </c>
      <c r="S62" s="35">
        <f t="shared" si="95"/>
        <v>54.201809181856433</v>
      </c>
      <c r="T62" s="35">
        <f t="shared" si="95"/>
        <v>49.632930324783601</v>
      </c>
      <c r="U62" s="35">
        <f t="shared" si="95"/>
        <v>44.995518284854668</v>
      </c>
      <c r="V62" s="35">
        <f t="shared" si="95"/>
        <v>40.288545064326804</v>
      </c>
      <c r="W62" s="35">
        <f t="shared" si="95"/>
        <v>35.510967245491024</v>
      </c>
      <c r="X62" s="35">
        <f t="shared" si="95"/>
        <v>30.6617257593727</v>
      </c>
      <c r="Y62" s="35">
        <f t="shared" si="95"/>
        <v>25.739745650962607</v>
      </c>
      <c r="Z62" s="35">
        <f t="shared" si="91"/>
        <v>20.743935840926358</v>
      </c>
      <c r="AA62" s="35">
        <f t="shared" si="92"/>
        <v>15.67318888373957</v>
      </c>
      <c r="AB62" s="35">
        <f t="shared" si="92"/>
        <v>10.526380722194979</v>
      </c>
      <c r="AC62" s="35">
        <f t="shared" si="94"/>
        <v>5.3023704382272179</v>
      </c>
      <c r="AD62" s="35">
        <f t="shared" ref="AD62:AD65" si="96">$B$15*AC53</f>
        <v>-5.8992810636482319E-14</v>
      </c>
    </row>
    <row r="63" spans="1:33" outlineLevel="1" x14ac:dyDescent="0.2">
      <c r="A63" s="34">
        <v>2021</v>
      </c>
      <c r="F63" s="35"/>
      <c r="K63" s="35">
        <f>$B$15*J$28</f>
        <v>61.150929022572136</v>
      </c>
      <c r="L63" s="35">
        <f>$B$15*K54</f>
        <v>58.506412097583748</v>
      </c>
      <c r="M63" s="35">
        <f t="shared" ref="M63:Z63" si="97">$B$15*L54</f>
        <v>55.82222741872053</v>
      </c>
      <c r="N63" s="35">
        <f t="shared" si="97"/>
        <v>53.097779969674363</v>
      </c>
      <c r="O63" s="35">
        <f t="shared" si="97"/>
        <v>50.332465808892508</v>
      </c>
      <c r="P63" s="35">
        <f t="shared" si="97"/>
        <v>47.525671935698931</v>
      </c>
      <c r="Q63" s="35">
        <f t="shared" si="97"/>
        <v>44.676776154407442</v>
      </c>
      <c r="R63" s="35">
        <f t="shared" si="97"/>
        <v>41.785146936396586</v>
      </c>
      <c r="S63" s="35">
        <f t="shared" si="97"/>
        <v>38.850143280115567</v>
      </c>
      <c r="T63" s="35">
        <f t="shared" si="97"/>
        <v>35.871114568990322</v>
      </c>
      <c r="U63" s="35">
        <f t="shared" si="97"/>
        <v>32.84740042719821</v>
      </c>
      <c r="V63" s="35">
        <f t="shared" si="97"/>
        <v>29.778330573279213</v>
      </c>
      <c r="W63" s="35">
        <f t="shared" si="97"/>
        <v>26.663224671551426</v>
      </c>
      <c r="X63" s="35">
        <f t="shared" si="97"/>
        <v>23.501392181297728</v>
      </c>
      <c r="Y63" s="35">
        <f t="shared" si="97"/>
        <v>20.292132203690219</v>
      </c>
      <c r="Z63" s="35">
        <f t="shared" si="97"/>
        <v>17.0347333264186</v>
      </c>
      <c r="AA63" s="35">
        <f t="shared" si="92"/>
        <v>13.728473465987907</v>
      </c>
      <c r="AB63" s="35">
        <f t="shared" si="92"/>
        <v>10.372619707650754</v>
      </c>
      <c r="AC63" s="35">
        <f t="shared" si="94"/>
        <v>6.9664281429385433</v>
      </c>
      <c r="AD63" s="35">
        <f t="shared" si="96"/>
        <v>3.5091437047556489</v>
      </c>
      <c r="AE63" s="35">
        <f t="shared" ref="AE63:AE65" si="98">$B$15*AD54</f>
        <v>1.1157741397482823E-14</v>
      </c>
      <c r="AF63" s="35"/>
    </row>
    <row r="64" spans="1:33" outlineLevel="1" x14ac:dyDescent="0.2">
      <c r="A64" s="34">
        <v>2022</v>
      </c>
      <c r="F64" s="35"/>
      <c r="L64" s="35">
        <f>$B$15*K$28</f>
        <v>23.5413108343304</v>
      </c>
      <c r="M64" s="35">
        <f>$B$15*L55</f>
        <v>22.523249523850239</v>
      </c>
      <c r="N64" s="35">
        <f t="shared" ref="N64:AA64" si="99">$B$15*M55</f>
        <v>21.489917293712871</v>
      </c>
      <c r="O64" s="35">
        <f t="shared" si="99"/>
        <v>20.441085080123443</v>
      </c>
      <c r="P64" s="35">
        <f t="shared" si="99"/>
        <v>19.376520383330174</v>
      </c>
      <c r="Q64" s="35">
        <f t="shared" si="99"/>
        <v>18.29598721608501</v>
      </c>
      <c r="R64" s="35">
        <f t="shared" si="99"/>
        <v>17.199246051331162</v>
      </c>
      <c r="S64" s="35">
        <f t="shared" si="99"/>
        <v>16.086053769106009</v>
      </c>
      <c r="T64" s="35">
        <f t="shared" si="99"/>
        <v>14.95616360264748</v>
      </c>
      <c r="U64" s="35">
        <f t="shared" si="99"/>
        <v>13.809325083692073</v>
      </c>
      <c r="V64" s="35">
        <f t="shared" si="99"/>
        <v>12.645283986952334</v>
      </c>
      <c r="W64" s="35">
        <f t="shared" si="99"/>
        <v>11.463782273761501</v>
      </c>
      <c r="X64" s="35">
        <f t="shared" si="99"/>
        <v>10.264558034872802</v>
      </c>
      <c r="Y64" s="35">
        <f t="shared" si="99"/>
        <v>9.0473454324007747</v>
      </c>
      <c r="Z64" s="35">
        <f t="shared" si="99"/>
        <v>7.8118746408916655</v>
      </c>
      <c r="AA64" s="35">
        <f t="shared" si="99"/>
        <v>6.5578717875099199</v>
      </c>
      <c r="AB64" s="35">
        <f t="shared" si="92"/>
        <v>5.2850588913274477</v>
      </c>
      <c r="AC64" s="35">
        <f t="shared" si="94"/>
        <v>3.9931538017022383</v>
      </c>
      <c r="AD64" s="35">
        <f t="shared" si="96"/>
        <v>2.6818701357326513</v>
      </c>
      <c r="AE64" s="35">
        <f t="shared" si="98"/>
        <v>1.3509172147735207</v>
      </c>
      <c r="AF64" s="35">
        <f t="shared" ref="AF64:AF65" si="100">$B$15*AE55</f>
        <v>3.0375701953744282E-15</v>
      </c>
    </row>
    <row r="65" spans="1:33" outlineLevel="1" x14ac:dyDescent="0.2">
      <c r="A65" s="34">
        <v>2023</v>
      </c>
      <c r="F65" s="35"/>
      <c r="M65" s="35">
        <f>$B$15*L$28</f>
        <v>24.912491807325591</v>
      </c>
      <c r="N65" s="35">
        <f>$B$15*M56</f>
        <v>23.835132766651178</v>
      </c>
      <c r="O65" s="35">
        <f t="shared" ref="O65:AB65" si="101">$B$15*N56</f>
        <v>22.741613340366655</v>
      </c>
      <c r="P65" s="35">
        <f t="shared" si="101"/>
        <v>21.631691122687862</v>
      </c>
      <c r="Q65" s="35">
        <f t="shared" si="101"/>
        <v>20.505120071743889</v>
      </c>
      <c r="R65" s="35">
        <f t="shared" si="101"/>
        <v>19.361650455035758</v>
      </c>
      <c r="S65" s="35">
        <f t="shared" si="101"/>
        <v>18.201028794077001</v>
      </c>
      <c r="T65" s="35">
        <f t="shared" si="101"/>
        <v>17.022997808203861</v>
      </c>
      <c r="U65" s="35">
        <f t="shared" si="101"/>
        <v>15.827296357542629</v>
      </c>
      <c r="V65" s="35">
        <f t="shared" si="101"/>
        <v>14.613659385121474</v>
      </c>
      <c r="W65" s="35">
        <f t="shared" si="101"/>
        <v>13.381817858114005</v>
      </c>
      <c r="X65" s="35">
        <f t="shared" si="101"/>
        <v>12.131498708201422</v>
      </c>
      <c r="Y65" s="35">
        <f t="shared" si="101"/>
        <v>10.86242477104015</v>
      </c>
      <c r="Z65" s="35">
        <f t="shared" si="101"/>
        <v>9.5743147248214608</v>
      </c>
      <c r="AA65" s="35">
        <f t="shared" si="101"/>
        <v>8.2668830279094898</v>
      </c>
      <c r="AB65" s="35">
        <f t="shared" si="101"/>
        <v>6.9398398555438412</v>
      </c>
      <c r="AC65" s="35">
        <f t="shared" si="94"/>
        <v>5.5928910355927064</v>
      </c>
      <c r="AD65" s="35">
        <f t="shared" si="96"/>
        <v>4.225737983342305</v>
      </c>
      <c r="AE65" s="35">
        <f t="shared" si="98"/>
        <v>2.8380776353081481</v>
      </c>
      <c r="AF65" s="35">
        <f t="shared" si="100"/>
        <v>1.4296023820534784</v>
      </c>
      <c r="AG65" s="35">
        <f t="shared" ref="AG65" si="102">$B$15*AF56</f>
        <v>-1.1234346786181959E-14</v>
      </c>
    </row>
    <row r="66" spans="1:33" x14ac:dyDescent="0.2">
      <c r="A66" s="34"/>
      <c r="F66" s="35"/>
    </row>
    <row r="67" spans="1:33" hidden="1" x14ac:dyDescent="0.2">
      <c r="A67" s="34" t="s">
        <v>33</v>
      </c>
      <c r="B67" s="39"/>
      <c r="F67" s="40">
        <f>F57*$B$16*$B$13/$B$15</f>
        <v>75.599999999999994</v>
      </c>
      <c r="G67" s="40">
        <f t="shared" ref="G67:AB67" si="103">G57*$B$16*$B$13/$B$15</f>
        <v>147.93062236789029</v>
      </c>
      <c r="H67" s="40">
        <f t="shared" si="103"/>
        <v>216.94282643918933</v>
      </c>
      <c r="I67" s="40">
        <f t="shared" si="103"/>
        <v>282.58683593944824</v>
      </c>
      <c r="J67" s="40">
        <f t="shared" si="103"/>
        <v>344.81212795010117</v>
      </c>
      <c r="K67" s="40">
        <f t="shared" si="103"/>
        <v>377.99999999999983</v>
      </c>
      <c r="L67" s="40">
        <f t="shared" si="103"/>
        <v>377.99999999999983</v>
      </c>
      <c r="M67" s="40">
        <f t="shared" si="103"/>
        <v>377.99999999999989</v>
      </c>
      <c r="N67" s="40">
        <f t="shared" si="103"/>
        <v>356.42983236127372</v>
      </c>
      <c r="O67" s="40">
        <f t="shared" si="103"/>
        <v>334.53611220796648</v>
      </c>
      <c r="P67" s="40">
        <f t="shared" si="103"/>
        <v>312.31398625235977</v>
      </c>
      <c r="Q67" s="40">
        <f t="shared" si="103"/>
        <v>289.75852840741902</v>
      </c>
      <c r="R67" s="40">
        <f t="shared" si="103"/>
        <v>266.86473869480409</v>
      </c>
      <c r="S67" s="40">
        <f t="shared" si="103"/>
        <v>243.62754213649998</v>
      </c>
      <c r="T67" s="40">
        <f t="shared" si="103"/>
        <v>220.04178762982127</v>
      </c>
      <c r="U67" s="40">
        <f t="shared" si="103"/>
        <v>196.10224680554236</v>
      </c>
      <c r="V67" s="40">
        <f t="shared" si="103"/>
        <v>171.80361286889934</v>
      </c>
      <c r="W67" s="40">
        <f t="shared" si="103"/>
        <v>147.14049942320659</v>
      </c>
      <c r="X67" s="40">
        <f t="shared" si="103"/>
        <v>122.1074392758285</v>
      </c>
      <c r="Y67" s="40">
        <f t="shared" si="103"/>
        <v>96.698883226239701</v>
      </c>
      <c r="Z67" s="40">
        <f t="shared" si="103"/>
        <v>70.909198835907091</v>
      </c>
      <c r="AA67" s="40">
        <f t="shared" si="103"/>
        <v>49.136046811829203</v>
      </c>
      <c r="AB67" s="40">
        <f t="shared" si="103"/>
        <v>31.439675139499784</v>
      </c>
      <c r="AC67" s="40">
        <f t="shared" ref="AC67:AG67" si="104">AC57*$B$16*$B$13/$B$15</f>
        <v>17.881235524195073</v>
      </c>
      <c r="AD67" s="40">
        <f t="shared" si="104"/>
        <v>8.522796946770443</v>
      </c>
      <c r="AE67" s="40">
        <f t="shared" si="104"/>
        <v>3.4273594227941011</v>
      </c>
      <c r="AF67" s="40">
        <f t="shared" si="104"/>
        <v>1.1696746762255759</v>
      </c>
      <c r="AG67" s="40">
        <f t="shared" si="104"/>
        <v>-9.19173827960342E-15</v>
      </c>
    </row>
    <row r="68" spans="1:33" hidden="1" x14ac:dyDescent="0.2">
      <c r="A68" s="34" t="s">
        <v>34</v>
      </c>
      <c r="B68" s="39"/>
      <c r="E68" s="38"/>
      <c r="F68" s="40">
        <f>F57-F67</f>
        <v>16.799999999999997</v>
      </c>
      <c r="G68" s="40">
        <f t="shared" ref="G68:M68" si="105">G57-G67</f>
        <v>32.873471637308995</v>
      </c>
      <c r="H68" s="40">
        <f t="shared" si="105"/>
        <v>48.209516986486562</v>
      </c>
      <c r="I68" s="40">
        <f t="shared" si="105"/>
        <v>62.7970746532107</v>
      </c>
      <c r="J68" s="40">
        <f t="shared" si="105"/>
        <v>76.624917322244812</v>
      </c>
      <c r="K68" s="40">
        <f t="shared" si="105"/>
        <v>84.000000000000057</v>
      </c>
      <c r="L68" s="40">
        <f t="shared" si="105"/>
        <v>84</v>
      </c>
      <c r="M68" s="40">
        <f t="shared" si="105"/>
        <v>84.000000000000057</v>
      </c>
      <c r="N68" s="40">
        <f t="shared" ref="N68:AB68" si="106">N57-N67</f>
        <v>79.206629413616383</v>
      </c>
      <c r="O68" s="40">
        <f t="shared" si="106"/>
        <v>74.341358268437091</v>
      </c>
      <c r="P68" s="40">
        <f t="shared" si="106"/>
        <v>69.403108056080043</v>
      </c>
      <c r="Q68" s="40">
        <f t="shared" si="106"/>
        <v>64.390784090537579</v>
      </c>
      <c r="R68" s="40">
        <f t="shared" si="106"/>
        <v>59.303275265512127</v>
      </c>
      <c r="S68" s="40">
        <f t="shared" si="106"/>
        <v>54.139453808111114</v>
      </c>
      <c r="T68" s="40">
        <f t="shared" si="106"/>
        <v>48.898175028849209</v>
      </c>
      <c r="U68" s="40">
        <f t="shared" si="106"/>
        <v>43.578277067898341</v>
      </c>
      <c r="V68" s="40">
        <f t="shared" si="106"/>
        <v>38.178580637533202</v>
      </c>
      <c r="W68" s="40">
        <f t="shared" si="106"/>
        <v>32.697888760712601</v>
      </c>
      <c r="X68" s="40">
        <f t="shared" si="106"/>
        <v>27.13498650573969</v>
      </c>
      <c r="Y68" s="40">
        <f t="shared" si="106"/>
        <v>21.488640716942172</v>
      </c>
      <c r="Z68" s="40">
        <f t="shared" si="106"/>
        <v>15.757599741312703</v>
      </c>
      <c r="AA68" s="40">
        <f t="shared" si="106"/>
        <v>10.919121513739825</v>
      </c>
      <c r="AB68" s="40">
        <f t="shared" si="106"/>
        <v>6.9865944754443987</v>
      </c>
      <c r="AC68" s="40">
        <f t="shared" ref="AC68:AG68" si="107">AC57-AC67</f>
        <v>3.973607894265573</v>
      </c>
      <c r="AD68" s="40">
        <f t="shared" si="107"/>
        <v>1.8939548770601018</v>
      </c>
      <c r="AE68" s="40">
        <f t="shared" si="107"/>
        <v>0.76163542728757871</v>
      </c>
      <c r="AF68" s="40">
        <f t="shared" si="107"/>
        <v>0.2599277058279057</v>
      </c>
      <c r="AG68" s="40">
        <f t="shared" si="107"/>
        <v>-2.0426085065785388E-15</v>
      </c>
    </row>
    <row r="69" spans="1:33" s="40" customFormat="1" hidden="1" x14ac:dyDescent="0.2">
      <c r="A69" s="41" t="s">
        <v>55</v>
      </c>
      <c r="B69" s="42"/>
      <c r="F69" s="40">
        <f>F68</f>
        <v>16.799999999999997</v>
      </c>
      <c r="G69" s="40">
        <f>F69*(1+$B$15)+G68</f>
        <v>49.925471637308988</v>
      </c>
      <c r="H69" s="40">
        <f>G69*(1+$B$15)+H68</f>
        <v>98.883870698355182</v>
      </c>
      <c r="I69" s="40">
        <f t="shared" ref="I69:M69" si="108">H69*(1+$B$15)+I68</f>
        <v>163.16420341204122</v>
      </c>
      <c r="J69" s="40">
        <f t="shared" si="108"/>
        <v>242.23658378546662</v>
      </c>
      <c r="K69" s="40">
        <f t="shared" si="108"/>
        <v>329.87013254224865</v>
      </c>
      <c r="L69" s="40">
        <f t="shared" si="108"/>
        <v>418.81818453038233</v>
      </c>
      <c r="M69" s="40">
        <f t="shared" si="108"/>
        <v>509.10045729833809</v>
      </c>
      <c r="N69" s="40">
        <f t="shared" ref="N69" si="109">M69*(1+$B$15)+N68</f>
        <v>595.94359357142946</v>
      </c>
      <c r="O69" s="40">
        <f t="shared" ref="O69" si="110">N69*(1+$B$15)+O68</f>
        <v>679.22410574343803</v>
      </c>
      <c r="P69" s="40">
        <f t="shared" ref="P69" si="111">O69*(1+$B$15)+P68</f>
        <v>758.81557538566949</v>
      </c>
      <c r="Q69" s="40">
        <f t="shared" ref="Q69" si="112">P69*(1+$B$15)+Q68</f>
        <v>834.58859310699199</v>
      </c>
      <c r="R69" s="40">
        <f t="shared" ref="R69" si="113">Q69*(1+$B$15)+R68</f>
        <v>906.41069726910882</v>
      </c>
      <c r="S69" s="40">
        <f t="shared" ref="S69" si="114">R69*(1+$B$15)+S68</f>
        <v>974.14631153625646</v>
      </c>
      <c r="T69" s="40">
        <f t="shared" ref="T69" si="115">S69*(1+$B$15)+T68</f>
        <v>1037.6566812381493</v>
      </c>
      <c r="U69" s="40">
        <f t="shared" ref="U69" si="116">T69*(1+$B$15)+U68</f>
        <v>1096.7998085246199</v>
      </c>
      <c r="V69" s="40">
        <f t="shared" ref="V69" si="117">U69*(1+$B$15)+V68</f>
        <v>1151.4303862900224</v>
      </c>
      <c r="W69" s="40">
        <f t="shared" ref="W69" si="118">V69*(1+$B$15)+W68</f>
        <v>1201.3997308450853</v>
      </c>
      <c r="X69" s="40">
        <f t="shared" ref="X69" si="119">W69*(1+$B$15)+X68</f>
        <v>1246.5557133135012</v>
      </c>
      <c r="Y69" s="40">
        <f t="shared" ref="Y69" si="120">X69*(1+$B$15)+Y68</f>
        <v>1286.7426897301457</v>
      </c>
      <c r="Z69" s="40">
        <f t="shared" ref="Z69" si="121">Y69*(1+$B$15)+Z68</f>
        <v>1321.8014298174105</v>
      </c>
      <c r="AA69" s="40">
        <f t="shared" ref="AA69" si="122">Z69*(1+$B$15)+AA68</f>
        <v>1352.5475727784114</v>
      </c>
      <c r="AB69" s="40">
        <f t="shared" ref="AB69" si="123">AA69*(1+$B$15)+AB68</f>
        <v>1379.8223808455321</v>
      </c>
    </row>
    <row r="70" spans="1:33" x14ac:dyDescent="0.2">
      <c r="A70" s="34"/>
      <c r="B70" s="35"/>
    </row>
    <row r="72" spans="1:33" x14ac:dyDescent="0.2">
      <c r="A72" s="43" t="s">
        <v>48</v>
      </c>
      <c r="B72" s="44">
        <f>SUM(E28:G28)</f>
        <v>18480</v>
      </c>
      <c r="C72" s="45" t="s">
        <v>18</v>
      </c>
    </row>
    <row r="73" spans="1:33" x14ac:dyDescent="0.2">
      <c r="A73" s="43" t="s">
        <v>49</v>
      </c>
      <c r="B73" s="44">
        <f>SUM(E28:L28)/B5</f>
        <v>38106.982110948542</v>
      </c>
      <c r="C73" s="45" t="s">
        <v>18</v>
      </c>
      <c r="I73" s="46"/>
    </row>
    <row r="74" spans="1:33" x14ac:dyDescent="0.2">
      <c r="A74" s="43" t="s">
        <v>71</v>
      </c>
      <c r="B74" s="44">
        <f>AB30</f>
        <v>16005.278421146886</v>
      </c>
      <c r="C74" s="45" t="s">
        <v>18</v>
      </c>
      <c r="E74" s="35"/>
    </row>
    <row r="75" spans="1:33" x14ac:dyDescent="0.2">
      <c r="A75" s="47" t="s">
        <v>14</v>
      </c>
      <c r="B75" s="86">
        <f>B73/B10</f>
        <v>2.2682727446993178</v>
      </c>
      <c r="C75" s="86"/>
      <c r="D75" s="14" t="s">
        <v>15</v>
      </c>
    </row>
    <row r="76" spans="1:33" x14ac:dyDescent="0.2">
      <c r="A76" s="47" t="s">
        <v>9</v>
      </c>
      <c r="B76" s="86">
        <f>B73/(SUM(E28:L28)*B17)</f>
        <v>1.833333333333333</v>
      </c>
      <c r="C76" s="86"/>
    </row>
    <row r="78" spans="1:33" x14ac:dyDescent="0.2">
      <c r="A78" s="15" t="s">
        <v>58</v>
      </c>
      <c r="B78" s="44">
        <f>SUM(E34:M35)</f>
        <v>879.85626605971947</v>
      </c>
      <c r="C78" s="44" t="s">
        <v>18</v>
      </c>
    </row>
    <row r="79" spans="1:33" x14ac:dyDescent="0.2">
      <c r="A79" s="15" t="s">
        <v>59</v>
      </c>
      <c r="B79" s="48">
        <v>0.08</v>
      </c>
      <c r="C79" s="44"/>
    </row>
    <row r="80" spans="1:33" x14ac:dyDescent="0.2">
      <c r="A80" s="15" t="s">
        <v>60</v>
      </c>
      <c r="B80" s="48">
        <f>B78/B11</f>
        <v>5.2372396789269013E-2</v>
      </c>
      <c r="C80" s="44"/>
    </row>
    <row r="81" spans="1:35" x14ac:dyDescent="0.2">
      <c r="A81" s="30"/>
    </row>
    <row r="82" spans="1:35" s="33" customFormat="1" x14ac:dyDescent="0.2">
      <c r="A82" s="14"/>
      <c r="E82" s="33">
        <v>2015</v>
      </c>
      <c r="F82" s="33">
        <f t="shared" ref="F82:AB82" si="124">F26</f>
        <v>2016</v>
      </c>
      <c r="G82" s="33">
        <f t="shared" si="124"/>
        <v>2017</v>
      </c>
      <c r="H82" s="33">
        <f t="shared" si="124"/>
        <v>2018</v>
      </c>
      <c r="I82" s="33">
        <f t="shared" si="124"/>
        <v>2019</v>
      </c>
      <c r="J82" s="33">
        <f t="shared" si="124"/>
        <v>2020</v>
      </c>
      <c r="K82" s="33">
        <f t="shared" si="124"/>
        <v>2021</v>
      </c>
      <c r="L82" s="33">
        <f t="shared" si="124"/>
        <v>2022</v>
      </c>
      <c r="M82" s="33">
        <f t="shared" si="124"/>
        <v>2023</v>
      </c>
      <c r="N82" s="33">
        <f t="shared" si="124"/>
        <v>2024</v>
      </c>
      <c r="O82" s="33">
        <f t="shared" si="124"/>
        <v>2025</v>
      </c>
      <c r="P82" s="33">
        <f t="shared" si="124"/>
        <v>2026</v>
      </c>
      <c r="Q82" s="33">
        <f t="shared" si="124"/>
        <v>2027</v>
      </c>
      <c r="R82" s="33">
        <f t="shared" si="124"/>
        <v>2028</v>
      </c>
      <c r="S82" s="33">
        <f t="shared" si="124"/>
        <v>2029</v>
      </c>
      <c r="T82" s="33">
        <f t="shared" si="124"/>
        <v>2030</v>
      </c>
      <c r="U82" s="33">
        <f t="shared" si="124"/>
        <v>2031</v>
      </c>
      <c r="V82" s="33">
        <f t="shared" si="124"/>
        <v>2032</v>
      </c>
      <c r="W82" s="33">
        <f t="shared" si="124"/>
        <v>2033</v>
      </c>
      <c r="X82" s="33">
        <f t="shared" si="124"/>
        <v>2034</v>
      </c>
      <c r="Y82" s="33">
        <f t="shared" si="124"/>
        <v>2035</v>
      </c>
      <c r="Z82" s="33">
        <f t="shared" si="124"/>
        <v>2036</v>
      </c>
      <c r="AA82" s="33">
        <f t="shared" si="124"/>
        <v>2037</v>
      </c>
      <c r="AB82" s="33">
        <f t="shared" si="124"/>
        <v>2038</v>
      </c>
    </row>
    <row r="83" spans="1:35" x14ac:dyDescent="0.2">
      <c r="A83" s="14" t="s">
        <v>10</v>
      </c>
      <c r="F83" s="35">
        <f t="shared" ref="F83:AB83" si="125">F27</f>
        <v>5893.6062670132869</v>
      </c>
      <c r="G83" s="35">
        <f t="shared" si="125"/>
        <v>11516.822895045061</v>
      </c>
      <c r="H83" s="35">
        <f t="shared" si="125"/>
        <v>16865.594039510597</v>
      </c>
      <c r="I83" s="35">
        <f t="shared" si="125"/>
        <v>21935.803018156403</v>
      </c>
      <c r="J83" s="35">
        <f t="shared" si="125"/>
        <v>26723.271398495184</v>
      </c>
      <c r="K83" s="35">
        <f t="shared" si="125"/>
        <v>29230.579277711298</v>
      </c>
      <c r="L83" s="35">
        <f t="shared" si="125"/>
        <v>29139.167212844954</v>
      </c>
      <c r="M83" s="35">
        <f t="shared" si="125"/>
        <v>29042.430784992674</v>
      </c>
      <c r="N83" s="35">
        <f t="shared" si="125"/>
        <v>27258.498031760239</v>
      </c>
      <c r="O83" s="35">
        <f t="shared" si="125"/>
        <v>25447.806287229323</v>
      </c>
      <c r="P83" s="35">
        <f t="shared" si="125"/>
        <v>23609.954166530439</v>
      </c>
      <c r="Q83" s="35">
        <f t="shared" si="125"/>
        <v>21744.53426402108</v>
      </c>
      <c r="R83" s="35">
        <f t="shared" si="125"/>
        <v>19851.133062974073</v>
      </c>
      <c r="S83" s="35">
        <f t="shared" si="125"/>
        <v>17929.330843911361</v>
      </c>
      <c r="T83" s="35">
        <f t="shared" si="125"/>
        <v>15978.701591562714</v>
      </c>
      <c r="U83" s="35">
        <f t="shared" si="125"/>
        <v>13998.812900428835</v>
      </c>
      <c r="V83" s="35">
        <f t="shared" si="125"/>
        <v>11989.225878927948</v>
      </c>
      <c r="W83" s="35">
        <f t="shared" si="125"/>
        <v>9949.4950521045466</v>
      </c>
      <c r="X83" s="35">
        <f t="shared" si="125"/>
        <v>7879.1682628787921</v>
      </c>
      <c r="Y83" s="35">
        <f t="shared" si="125"/>
        <v>5777.7865718146522</v>
      </c>
      <c r="Z83" s="35">
        <f t="shared" si="125"/>
        <v>4003.6778883712686</v>
      </c>
      <c r="AA83" s="35">
        <f t="shared" si="125"/>
        <v>2561.7513076629452</v>
      </c>
      <c r="AB83" s="35">
        <f t="shared" si="125"/>
        <v>1456.9895612307098</v>
      </c>
    </row>
    <row r="84" spans="1:35" x14ac:dyDescent="0.2">
      <c r="A84" s="14" t="s">
        <v>47</v>
      </c>
      <c r="E84" s="35">
        <f t="shared" ref="E84:AB84" si="126">E31</f>
        <v>24639.999999999996</v>
      </c>
      <c r="F84" s="35">
        <f t="shared" si="126"/>
        <v>18746.393732986711</v>
      </c>
      <c r="G84" s="35">
        <f t="shared" si="126"/>
        <v>13123.177104954935</v>
      </c>
      <c r="H84" s="35">
        <f t="shared" si="126"/>
        <v>7774.4059604893991</v>
      </c>
      <c r="I84" s="35">
        <f t="shared" si="126"/>
        <v>2704.1969818435937</v>
      </c>
      <c r="J84" s="35">
        <f t="shared" si="126"/>
        <v>0</v>
      </c>
      <c r="K84" s="35">
        <f t="shared" si="126"/>
        <v>4.5474735088646412E-12</v>
      </c>
      <c r="L84" s="35">
        <f t="shared" si="126"/>
        <v>3.4106051316484809E-12</v>
      </c>
      <c r="M84" s="35">
        <f t="shared" si="126"/>
        <v>1757.5692150073228</v>
      </c>
      <c r="N84" s="35">
        <f t="shared" si="126"/>
        <v>3541.5019682397578</v>
      </c>
      <c r="O84" s="35">
        <f t="shared" si="126"/>
        <v>5352.1937127706733</v>
      </c>
      <c r="P84" s="35">
        <f t="shared" si="126"/>
        <v>7190.0458334695577</v>
      </c>
      <c r="Q84" s="35">
        <f t="shared" si="126"/>
        <v>9055.4657359789162</v>
      </c>
      <c r="R84" s="35">
        <f t="shared" si="126"/>
        <v>10948.866937025923</v>
      </c>
      <c r="S84" s="35">
        <f t="shared" si="126"/>
        <v>12870.669156088636</v>
      </c>
      <c r="T84" s="35">
        <f t="shared" si="126"/>
        <v>14821.298408437282</v>
      </c>
      <c r="U84" s="35">
        <f t="shared" si="126"/>
        <v>16801.187099571162</v>
      </c>
      <c r="V84" s="35">
        <f t="shared" si="126"/>
        <v>18810.774121072049</v>
      </c>
      <c r="W84" s="35">
        <f t="shared" si="126"/>
        <v>20850.50494789545</v>
      </c>
      <c r="X84" s="35">
        <f t="shared" si="126"/>
        <v>22920.831737121203</v>
      </c>
      <c r="Y84" s="35">
        <f t="shared" si="126"/>
        <v>25022.213428185343</v>
      </c>
      <c r="Z84" s="35">
        <f t="shared" si="126"/>
        <v>26796.322111628728</v>
      </c>
      <c r="AA84" s="35">
        <f t="shared" si="126"/>
        <v>28238.248692337052</v>
      </c>
      <c r="AB84" s="35">
        <f t="shared" si="126"/>
        <v>29343.010438769288</v>
      </c>
    </row>
    <row r="85" spans="1:35" x14ac:dyDescent="0.2">
      <c r="A85" s="14" t="s">
        <v>11</v>
      </c>
      <c r="F85" s="35">
        <f t="shared" ref="F85:N85" si="127">E28/$B$5</f>
        <v>6160</v>
      </c>
      <c r="G85" s="35">
        <f t="shared" si="127"/>
        <v>6160</v>
      </c>
      <c r="H85" s="35">
        <f t="shared" si="127"/>
        <v>6160</v>
      </c>
      <c r="I85" s="35">
        <f t="shared" si="127"/>
        <v>6160</v>
      </c>
      <c r="J85" s="35">
        <f t="shared" si="127"/>
        <v>6160</v>
      </c>
      <c r="K85" s="35">
        <f t="shared" si="127"/>
        <v>4076.7286015048094</v>
      </c>
      <c r="L85" s="35">
        <f t="shared" si="127"/>
        <v>1569.4207222886935</v>
      </c>
      <c r="M85" s="35">
        <f t="shared" si="127"/>
        <v>1660.8327871550393</v>
      </c>
      <c r="N85" s="35">
        <f t="shared" si="127"/>
        <v>0</v>
      </c>
      <c r="O85" s="35">
        <f t="shared" ref="O85:AB85" si="128">N28*$B$75</f>
        <v>0</v>
      </c>
      <c r="P85" s="35">
        <f t="shared" si="128"/>
        <v>0</v>
      </c>
      <c r="Q85" s="35">
        <f t="shared" si="128"/>
        <v>0</v>
      </c>
      <c r="R85" s="35">
        <f t="shared" si="128"/>
        <v>0</v>
      </c>
      <c r="S85" s="35">
        <f t="shared" si="128"/>
        <v>0</v>
      </c>
      <c r="T85" s="35">
        <f t="shared" si="128"/>
        <v>0</v>
      </c>
      <c r="U85" s="35">
        <f t="shared" si="128"/>
        <v>0</v>
      </c>
      <c r="V85" s="35">
        <f t="shared" si="128"/>
        <v>0</v>
      </c>
      <c r="W85" s="35">
        <f t="shared" si="128"/>
        <v>0</v>
      </c>
      <c r="X85" s="35">
        <f t="shared" si="128"/>
        <v>0</v>
      </c>
      <c r="Y85" s="35">
        <f t="shared" si="128"/>
        <v>0</v>
      </c>
      <c r="Z85" s="35">
        <f t="shared" si="128"/>
        <v>0</v>
      </c>
      <c r="AA85" s="35">
        <f t="shared" si="128"/>
        <v>0</v>
      </c>
      <c r="AB85" s="35">
        <f t="shared" si="128"/>
        <v>0</v>
      </c>
    </row>
    <row r="86" spans="1:35" x14ac:dyDescent="0.2">
      <c r="A86" s="14" t="s">
        <v>12</v>
      </c>
      <c r="F86" s="35">
        <f>F85+E86</f>
        <v>6160</v>
      </c>
      <c r="G86" s="35">
        <f t="shared" ref="G86:Z86" si="129">G85+F86</f>
        <v>12320</v>
      </c>
      <c r="H86" s="35">
        <f t="shared" si="129"/>
        <v>18480</v>
      </c>
      <c r="I86" s="35">
        <f t="shared" si="129"/>
        <v>24640</v>
      </c>
      <c r="J86" s="35">
        <f t="shared" si="129"/>
        <v>30800</v>
      </c>
      <c r="K86" s="35">
        <f t="shared" si="129"/>
        <v>34876.728601504808</v>
      </c>
      <c r="L86" s="35">
        <f t="shared" si="129"/>
        <v>36446.149323793499</v>
      </c>
      <c r="M86" s="35">
        <f t="shared" si="129"/>
        <v>38106.982110948542</v>
      </c>
      <c r="N86" s="35">
        <f t="shared" si="129"/>
        <v>38106.982110948542</v>
      </c>
      <c r="O86" s="35">
        <f t="shared" si="129"/>
        <v>38106.982110948542</v>
      </c>
      <c r="P86" s="35">
        <f t="shared" si="129"/>
        <v>38106.982110948542</v>
      </c>
      <c r="Q86" s="35">
        <f t="shared" si="129"/>
        <v>38106.982110948542</v>
      </c>
      <c r="R86" s="35">
        <f t="shared" si="129"/>
        <v>38106.982110948542</v>
      </c>
      <c r="S86" s="35">
        <f t="shared" si="129"/>
        <v>38106.982110948542</v>
      </c>
      <c r="T86" s="35">
        <f t="shared" si="129"/>
        <v>38106.982110948542</v>
      </c>
      <c r="U86" s="35">
        <f t="shared" si="129"/>
        <v>38106.982110948542</v>
      </c>
      <c r="V86" s="35">
        <f t="shared" si="129"/>
        <v>38106.982110948542</v>
      </c>
      <c r="W86" s="35">
        <f t="shared" si="129"/>
        <v>38106.982110948542</v>
      </c>
      <c r="X86" s="35">
        <f t="shared" si="129"/>
        <v>38106.982110948542</v>
      </c>
      <c r="Y86" s="35">
        <f t="shared" si="129"/>
        <v>38106.982110948542</v>
      </c>
      <c r="Z86" s="35">
        <f t="shared" si="129"/>
        <v>38106.982110948542</v>
      </c>
      <c r="AA86" s="35">
        <f t="shared" ref="AA86" si="130">AA85+Z86</f>
        <v>38106.982110948542</v>
      </c>
      <c r="AB86" s="35">
        <f t="shared" ref="AB86" si="131">AB85+AA86</f>
        <v>38106.982110948542</v>
      </c>
    </row>
    <row r="89" spans="1:35" x14ac:dyDescent="0.2">
      <c r="A89" s="33" t="s">
        <v>75</v>
      </c>
      <c r="E89" s="33">
        <v>2015</v>
      </c>
      <c r="F89" s="33">
        <v>2016</v>
      </c>
      <c r="G89" s="33">
        <v>2017</v>
      </c>
      <c r="H89" s="33">
        <v>2018</v>
      </c>
      <c r="I89" s="33">
        <v>2019</v>
      </c>
      <c r="J89" s="33">
        <v>2020</v>
      </c>
      <c r="K89" s="33">
        <v>2021</v>
      </c>
      <c r="L89" s="33">
        <v>2022</v>
      </c>
      <c r="M89" s="33">
        <v>2023</v>
      </c>
      <c r="N89" s="33">
        <v>2024</v>
      </c>
      <c r="O89" s="33">
        <v>2025</v>
      </c>
      <c r="P89" s="33">
        <v>2026</v>
      </c>
      <c r="Q89" s="33">
        <v>2027</v>
      </c>
      <c r="R89" s="33">
        <v>2028</v>
      </c>
      <c r="S89" s="33">
        <v>2029</v>
      </c>
      <c r="T89" s="33">
        <v>2030</v>
      </c>
      <c r="U89" s="33">
        <v>2031</v>
      </c>
      <c r="V89" s="33">
        <v>2032</v>
      </c>
      <c r="W89" s="33">
        <v>2033</v>
      </c>
      <c r="X89" s="33">
        <v>2034</v>
      </c>
      <c r="Y89" s="33">
        <v>2035</v>
      </c>
      <c r="Z89" s="33">
        <v>2036</v>
      </c>
      <c r="AA89" s="33">
        <v>2037</v>
      </c>
      <c r="AB89" s="33">
        <v>2038</v>
      </c>
      <c r="AC89" s="33">
        <v>2039</v>
      </c>
      <c r="AD89" s="33">
        <v>2040</v>
      </c>
      <c r="AE89" s="33">
        <v>2041</v>
      </c>
      <c r="AF89" s="33">
        <v>2042</v>
      </c>
    </row>
    <row r="90" spans="1:35" x14ac:dyDescent="0.2">
      <c r="A90" s="14" t="s">
        <v>76</v>
      </c>
      <c r="E90" s="35">
        <f>$B$11</f>
        <v>16800</v>
      </c>
      <c r="F90" s="35">
        <f>MAX(E92,0)</f>
        <v>16800</v>
      </c>
      <c r="G90" s="35">
        <f t="shared" ref="G90:I90" si="132">MAX(F92,0)</f>
        <v>13440</v>
      </c>
      <c r="H90" s="35">
        <f t="shared" si="132"/>
        <v>10080</v>
      </c>
      <c r="I90" s="35">
        <f t="shared" si="132"/>
        <v>6720</v>
      </c>
      <c r="J90" s="35">
        <f>MAX(I92,0)</f>
        <v>3359.9999999999995</v>
      </c>
      <c r="K90" s="35">
        <f>MAX(J92,0)</f>
        <v>0</v>
      </c>
      <c r="L90" s="35">
        <f>MAX(K92,0)</f>
        <v>0</v>
      </c>
      <c r="M90" s="35">
        <f>MAX(L92,0)</f>
        <v>0</v>
      </c>
    </row>
    <row r="91" spans="1:35" x14ac:dyDescent="0.2">
      <c r="A91" s="14" t="s">
        <v>77</v>
      </c>
      <c r="E91" s="35"/>
      <c r="F91" s="35">
        <f>E28*(1-($B$9*$B$16))</f>
        <v>3360.0000000000005</v>
      </c>
      <c r="G91" s="35">
        <f t="shared" ref="G91:H91" si="133">F28*(1-($B$9*$B$16))</f>
        <v>3360.0000000000005</v>
      </c>
      <c r="H91" s="35">
        <f t="shared" si="133"/>
        <v>3360.0000000000005</v>
      </c>
      <c r="I91" s="35">
        <f>H28*(1-($B$9*$B$16))</f>
        <v>3360.0000000000005</v>
      </c>
      <c r="J91" s="35">
        <f>I28*(1-($B$9*$B$16))</f>
        <v>3360.0000000000005</v>
      </c>
      <c r="K91" s="35">
        <f>J28*(1-($B$9*$B$16))</f>
        <v>2223.6701462753508</v>
      </c>
      <c r="L91" s="35">
        <f t="shared" ref="L91:M91" si="134">K28*(1-($B$9*$B$16))</f>
        <v>856.04766670292383</v>
      </c>
      <c r="M91" s="35">
        <f t="shared" si="134"/>
        <v>905.90879299365793</v>
      </c>
    </row>
    <row r="92" spans="1:35" x14ac:dyDescent="0.2">
      <c r="A92" s="33" t="s">
        <v>78</v>
      </c>
      <c r="B92" s="33"/>
      <c r="C92" s="33"/>
      <c r="D92" s="33"/>
      <c r="E92" s="37">
        <f>MAX(E90-E91,0)</f>
        <v>16800</v>
      </c>
      <c r="F92" s="37">
        <f t="shared" ref="F92:AB92" si="135">MAX(F90-F91,0)</f>
        <v>13440</v>
      </c>
      <c r="G92" s="37">
        <f t="shared" si="135"/>
        <v>10080</v>
      </c>
      <c r="H92" s="37">
        <f t="shared" si="135"/>
        <v>6720</v>
      </c>
      <c r="I92" s="37">
        <f t="shared" si="135"/>
        <v>3359.9999999999995</v>
      </c>
      <c r="J92" s="37">
        <f t="shared" si="135"/>
        <v>0</v>
      </c>
      <c r="K92" s="37">
        <f t="shared" si="135"/>
        <v>0</v>
      </c>
      <c r="L92" s="37">
        <f t="shared" si="135"/>
        <v>0</v>
      </c>
      <c r="M92" s="37">
        <f t="shared" si="135"/>
        <v>0</v>
      </c>
      <c r="N92" s="37">
        <f t="shared" si="135"/>
        <v>0</v>
      </c>
      <c r="O92" s="37">
        <f t="shared" si="135"/>
        <v>0</v>
      </c>
      <c r="P92" s="37">
        <f t="shared" si="135"/>
        <v>0</v>
      </c>
      <c r="Q92" s="37">
        <f t="shared" si="135"/>
        <v>0</v>
      </c>
      <c r="R92" s="37">
        <f t="shared" si="135"/>
        <v>0</v>
      </c>
      <c r="S92" s="37">
        <f t="shared" si="135"/>
        <v>0</v>
      </c>
      <c r="T92" s="37">
        <f t="shared" si="135"/>
        <v>0</v>
      </c>
      <c r="U92" s="37">
        <f t="shared" si="135"/>
        <v>0</v>
      </c>
      <c r="V92" s="37">
        <f t="shared" si="135"/>
        <v>0</v>
      </c>
      <c r="W92" s="37">
        <f t="shared" si="135"/>
        <v>0</v>
      </c>
      <c r="X92" s="37">
        <f t="shared" si="135"/>
        <v>0</v>
      </c>
      <c r="Y92" s="37">
        <f t="shared" si="135"/>
        <v>0</v>
      </c>
      <c r="Z92" s="37">
        <f t="shared" si="135"/>
        <v>0</v>
      </c>
      <c r="AA92" s="37">
        <f t="shared" si="135"/>
        <v>0</v>
      </c>
      <c r="AB92" s="37">
        <f t="shared" si="135"/>
        <v>0</v>
      </c>
    </row>
    <row r="94" spans="1:35" x14ac:dyDescent="0.2">
      <c r="A94" s="14" t="s">
        <v>79</v>
      </c>
      <c r="F94" s="14">
        <f>E96</f>
        <v>0</v>
      </c>
      <c r="G94" s="50">
        <f t="shared" ref="G94:AE94" si="136">F96</f>
        <v>145.30567253820678</v>
      </c>
      <c r="H94" s="50">
        <f t="shared" si="136"/>
        <v>438.09660270269342</v>
      </c>
      <c r="I94" s="50">
        <f t="shared" si="136"/>
        <v>880.5850693578542</v>
      </c>
      <c r="J94" s="50">
        <f t="shared" si="136"/>
        <v>1475.0165355510489</v>
      </c>
      <c r="K94" s="50">
        <f t="shared" si="136"/>
        <v>2223.6701462753485</v>
      </c>
      <c r="L94" s="50">
        <f t="shared" si="136"/>
        <v>856.04766670292383</v>
      </c>
      <c r="M94" s="50">
        <f t="shared" si="136"/>
        <v>905.90879299365542</v>
      </c>
      <c r="N94" s="50">
        <f t="shared" si="136"/>
        <v>958.67411727672038</v>
      </c>
      <c r="O94" s="50">
        <f t="shared" si="136"/>
        <v>1931.7283463125918</v>
      </c>
      <c r="P94" s="50">
        <f t="shared" si="136"/>
        <v>2919.3783887840009</v>
      </c>
      <c r="Q94" s="50">
        <f t="shared" si="136"/>
        <v>3921.8431818924814</v>
      </c>
      <c r="R94" s="50">
        <f t="shared" si="136"/>
        <v>4939.3449468975887</v>
      </c>
      <c r="S94" s="50">
        <f t="shared" si="136"/>
        <v>5972.1092383777732</v>
      </c>
      <c r="T94" s="50">
        <f t="shared" si="136"/>
        <v>7020.3649942301599</v>
      </c>
      <c r="U94" s="50">
        <f t="shared" si="136"/>
        <v>8084.3445864203331</v>
      </c>
      <c r="V94" s="50">
        <f t="shared" si="136"/>
        <v>9164.283872493359</v>
      </c>
      <c r="W94" s="50">
        <f t="shared" si="136"/>
        <v>10260.422247857479</v>
      </c>
      <c r="X94" s="50">
        <f t="shared" si="136"/>
        <v>11373.002698852062</v>
      </c>
      <c r="Y94" s="50">
        <f t="shared" si="136"/>
        <v>12502.271856611564</v>
      </c>
      <c r="Z94" s="50">
        <f t="shared" si="136"/>
        <v>13648.480051737457</v>
      </c>
      <c r="AA94" s="50">
        <f t="shared" si="136"/>
        <v>14616.175697252032</v>
      </c>
      <c r="AB94" s="50">
        <f t="shared" si="136"/>
        <v>15402.68110491112</v>
      </c>
      <c r="AC94" s="50">
        <f t="shared" si="136"/>
        <v>16005.278421146888</v>
      </c>
      <c r="AD94" s="50">
        <f t="shared" si="136"/>
        <v>16421.209024587984</v>
      </c>
      <c r="AE94" s="50">
        <f t="shared" si="136"/>
        <v>16647.672914542491</v>
      </c>
      <c r="AF94" s="50">
        <f t="shared" ref="AF94:AG94" si="137">AE96</f>
        <v>16748.014458834426</v>
      </c>
      <c r="AG94" s="50">
        <f t="shared" si="137"/>
        <v>16800.000000000007</v>
      </c>
      <c r="AH94" s="50">
        <f t="shared" ref="AH94:AI94" si="138">AG96</f>
        <v>16800.000000000007</v>
      </c>
      <c r="AI94" s="50">
        <f t="shared" si="138"/>
        <v>16800.000000000007</v>
      </c>
    </row>
    <row r="95" spans="1:35" x14ac:dyDescent="0.2">
      <c r="A95" s="14" t="s">
        <v>80</v>
      </c>
      <c r="F95" s="35">
        <v>0</v>
      </c>
      <c r="K95" s="35">
        <f>MIN(MAX(-(K90-K91),0),K94)</f>
        <v>2223.6701462753485</v>
      </c>
      <c r="L95" s="35">
        <f>MIN(MAX(-(L90-L91),0),L94)</f>
        <v>856.04766670292383</v>
      </c>
      <c r="M95" s="35">
        <f>MIN(MAX(-(M90-M91),0),M94)</f>
        <v>905.90879299365542</v>
      </c>
      <c r="N95" s="35"/>
    </row>
    <row r="96" spans="1:35" x14ac:dyDescent="0.2">
      <c r="A96" s="14" t="s">
        <v>81</v>
      </c>
      <c r="F96" s="35">
        <f>F94-F95+(F39-F57)*$B$17</f>
        <v>145.30567253820678</v>
      </c>
      <c r="G96" s="35">
        <f>G94-G95+(G39-G57)*$B$17</f>
        <v>438.09660270269342</v>
      </c>
      <c r="H96" s="35">
        <f t="shared" ref="H96:AI96" si="139">H94-H95+(H39-H57)*$B$17</f>
        <v>880.5850693578542</v>
      </c>
      <c r="I96" s="35">
        <f t="shared" si="139"/>
        <v>1475.0165355510489</v>
      </c>
      <c r="J96" s="35">
        <f t="shared" si="139"/>
        <v>2223.6701462753485</v>
      </c>
      <c r="K96" s="35">
        <f t="shared" si="139"/>
        <v>856.04766670292383</v>
      </c>
      <c r="L96" s="35">
        <f t="shared" si="139"/>
        <v>905.90879299365542</v>
      </c>
      <c r="M96" s="35">
        <f t="shared" si="139"/>
        <v>958.67411727672038</v>
      </c>
      <c r="N96" s="35">
        <f t="shared" si="139"/>
        <v>1931.7283463125918</v>
      </c>
      <c r="O96" s="35">
        <f t="shared" si="139"/>
        <v>2919.3783887840009</v>
      </c>
      <c r="P96" s="35">
        <f t="shared" si="139"/>
        <v>3921.8431818924814</v>
      </c>
      <c r="Q96" s="35">
        <f t="shared" si="139"/>
        <v>4939.3449468975887</v>
      </c>
      <c r="R96" s="35">
        <f t="shared" si="139"/>
        <v>5972.1092383777732</v>
      </c>
      <c r="S96" s="35">
        <f t="shared" si="139"/>
        <v>7020.3649942301599</v>
      </c>
      <c r="T96" s="35">
        <f t="shared" si="139"/>
        <v>8084.3445864203331</v>
      </c>
      <c r="U96" s="35">
        <f t="shared" si="139"/>
        <v>9164.283872493359</v>
      </c>
      <c r="V96" s="35">
        <f t="shared" si="139"/>
        <v>10260.422247857479</v>
      </c>
      <c r="W96" s="35">
        <f t="shared" si="139"/>
        <v>11373.002698852062</v>
      </c>
      <c r="X96" s="35">
        <f t="shared" si="139"/>
        <v>12502.271856611564</v>
      </c>
      <c r="Y96" s="35">
        <f t="shared" si="139"/>
        <v>13648.480051737457</v>
      </c>
      <c r="Z96" s="35">
        <f t="shared" si="139"/>
        <v>14616.175697252032</v>
      </c>
      <c r="AA96" s="35">
        <f t="shared" si="139"/>
        <v>15402.68110491112</v>
      </c>
      <c r="AB96" s="35">
        <f t="shared" si="139"/>
        <v>16005.278421146888</v>
      </c>
      <c r="AC96" s="35">
        <f t="shared" si="139"/>
        <v>16421.209024587984</v>
      </c>
      <c r="AD96" s="35">
        <f t="shared" si="139"/>
        <v>16647.672914542491</v>
      </c>
      <c r="AE96" s="35">
        <f t="shared" si="139"/>
        <v>16748.014458834426</v>
      </c>
      <c r="AF96" s="35">
        <f t="shared" si="139"/>
        <v>16800.000000000007</v>
      </c>
      <c r="AG96" s="35">
        <f t="shared" si="139"/>
        <v>16800.000000000007</v>
      </c>
      <c r="AH96" s="35">
        <f t="shared" si="139"/>
        <v>16800.000000000007</v>
      </c>
      <c r="AI96" s="35">
        <f t="shared" si="139"/>
        <v>16800.000000000007</v>
      </c>
    </row>
    <row r="98" spans="1:35" x14ac:dyDescent="0.2">
      <c r="E98" s="14">
        <f>E89</f>
        <v>2015</v>
      </c>
      <c r="F98" s="14">
        <f t="shared" ref="F98:AI98" si="140">F89</f>
        <v>2016</v>
      </c>
      <c r="G98" s="14">
        <f t="shared" si="140"/>
        <v>2017</v>
      </c>
      <c r="H98" s="14">
        <f t="shared" si="140"/>
        <v>2018</v>
      </c>
      <c r="I98" s="14">
        <f t="shared" si="140"/>
        <v>2019</v>
      </c>
      <c r="J98" s="14">
        <f t="shared" si="140"/>
        <v>2020</v>
      </c>
      <c r="K98" s="14">
        <f t="shared" si="140"/>
        <v>2021</v>
      </c>
      <c r="L98" s="14">
        <f t="shared" si="140"/>
        <v>2022</v>
      </c>
      <c r="M98" s="14">
        <f t="shared" si="140"/>
        <v>2023</v>
      </c>
      <c r="N98" s="14">
        <f t="shared" si="140"/>
        <v>2024</v>
      </c>
      <c r="O98" s="14">
        <f t="shared" si="140"/>
        <v>2025</v>
      </c>
      <c r="P98" s="14">
        <f t="shared" si="140"/>
        <v>2026</v>
      </c>
      <c r="Q98" s="14">
        <f t="shared" si="140"/>
        <v>2027</v>
      </c>
      <c r="R98" s="14">
        <f t="shared" si="140"/>
        <v>2028</v>
      </c>
      <c r="S98" s="14">
        <f t="shared" si="140"/>
        <v>2029</v>
      </c>
      <c r="T98" s="14">
        <f t="shared" si="140"/>
        <v>2030</v>
      </c>
      <c r="U98" s="14">
        <f t="shared" si="140"/>
        <v>2031</v>
      </c>
      <c r="V98" s="14">
        <f t="shared" si="140"/>
        <v>2032</v>
      </c>
      <c r="W98" s="14">
        <f t="shared" si="140"/>
        <v>2033</v>
      </c>
      <c r="X98" s="14">
        <f t="shared" si="140"/>
        <v>2034</v>
      </c>
      <c r="Y98" s="14">
        <f t="shared" si="140"/>
        <v>2035</v>
      </c>
      <c r="Z98" s="14">
        <f t="shared" si="140"/>
        <v>2036</v>
      </c>
      <c r="AA98" s="14">
        <f t="shared" si="140"/>
        <v>2037</v>
      </c>
      <c r="AB98" s="14">
        <f t="shared" si="140"/>
        <v>2038</v>
      </c>
      <c r="AC98" s="14">
        <f t="shared" si="140"/>
        <v>2039</v>
      </c>
      <c r="AD98" s="14">
        <f t="shared" si="140"/>
        <v>2040</v>
      </c>
      <c r="AE98" s="14">
        <f t="shared" si="140"/>
        <v>2041</v>
      </c>
      <c r="AF98" s="14">
        <f t="shared" si="140"/>
        <v>2042</v>
      </c>
      <c r="AG98" s="14">
        <f t="shared" si="140"/>
        <v>0</v>
      </c>
      <c r="AH98" s="14">
        <f t="shared" si="140"/>
        <v>0</v>
      </c>
      <c r="AI98" s="14">
        <f t="shared" si="140"/>
        <v>0</v>
      </c>
    </row>
    <row r="99" spans="1:35" x14ac:dyDescent="0.2">
      <c r="A99" s="14" t="str">
        <f>A90</f>
        <v>První cyklus IROP</v>
      </c>
      <c r="E99" s="35">
        <f>E92</f>
        <v>16800</v>
      </c>
      <c r="F99" s="35">
        <f t="shared" ref="F99:M99" si="141">F92</f>
        <v>13440</v>
      </c>
      <c r="G99" s="35">
        <f t="shared" si="141"/>
        <v>10080</v>
      </c>
      <c r="H99" s="35">
        <f t="shared" si="141"/>
        <v>6720</v>
      </c>
      <c r="I99" s="35">
        <f t="shared" si="141"/>
        <v>3359.9999999999995</v>
      </c>
      <c r="J99" s="35">
        <f t="shared" si="141"/>
        <v>0</v>
      </c>
      <c r="K99" s="35">
        <f t="shared" si="141"/>
        <v>0</v>
      </c>
      <c r="L99" s="35">
        <f t="shared" si="141"/>
        <v>0</v>
      </c>
      <c r="M99" s="35">
        <f t="shared" si="141"/>
        <v>0</v>
      </c>
    </row>
    <row r="100" spans="1:35" x14ac:dyDescent="0.2">
      <c r="A100" s="14" t="s">
        <v>82</v>
      </c>
      <c r="J100" s="35">
        <f>SUM(K91:M91)</f>
        <v>3985.6266059719328</v>
      </c>
      <c r="K100" s="35">
        <f>SUM(L91:M91)</f>
        <v>1761.9564596965818</v>
      </c>
      <c r="L100" s="35">
        <f>M91</f>
        <v>905.90879299365793</v>
      </c>
    </row>
    <row r="101" spans="1:35" x14ac:dyDescent="0.2">
      <c r="A101" s="14" t="s">
        <v>83</v>
      </c>
      <c r="E101" s="35">
        <f>E96</f>
        <v>0</v>
      </c>
      <c r="F101" s="35">
        <f t="shared" ref="F101:AI101" si="142">F96</f>
        <v>145.30567253820678</v>
      </c>
      <c r="G101" s="35">
        <f t="shared" si="142"/>
        <v>438.09660270269342</v>
      </c>
      <c r="H101" s="35">
        <f t="shared" si="142"/>
        <v>880.5850693578542</v>
      </c>
      <c r="I101" s="35">
        <f t="shared" si="142"/>
        <v>1475.0165355510489</v>
      </c>
      <c r="J101" s="35">
        <f t="shared" si="142"/>
        <v>2223.6701462753485</v>
      </c>
      <c r="K101" s="35">
        <f t="shared" si="142"/>
        <v>856.04766670292383</v>
      </c>
      <c r="L101" s="35">
        <f t="shared" si="142"/>
        <v>905.90879299365542</v>
      </c>
      <c r="M101" s="35">
        <f t="shared" si="142"/>
        <v>958.67411727672038</v>
      </c>
      <c r="N101" s="35">
        <f t="shared" si="142"/>
        <v>1931.7283463125918</v>
      </c>
      <c r="O101" s="35">
        <f t="shared" si="142"/>
        <v>2919.3783887840009</v>
      </c>
      <c r="P101" s="35">
        <f t="shared" si="142"/>
        <v>3921.8431818924814</v>
      </c>
      <c r="Q101" s="35">
        <f t="shared" si="142"/>
        <v>4939.3449468975887</v>
      </c>
      <c r="R101" s="35">
        <f t="shared" si="142"/>
        <v>5972.1092383777732</v>
      </c>
      <c r="S101" s="35">
        <f t="shared" si="142"/>
        <v>7020.3649942301599</v>
      </c>
      <c r="T101" s="35">
        <f t="shared" si="142"/>
        <v>8084.3445864203331</v>
      </c>
      <c r="U101" s="35">
        <f t="shared" si="142"/>
        <v>9164.283872493359</v>
      </c>
      <c r="V101" s="35">
        <f t="shared" si="142"/>
        <v>10260.422247857479</v>
      </c>
      <c r="W101" s="35">
        <f t="shared" si="142"/>
        <v>11373.002698852062</v>
      </c>
      <c r="X101" s="35">
        <f t="shared" si="142"/>
        <v>12502.271856611564</v>
      </c>
      <c r="Y101" s="35">
        <f t="shared" si="142"/>
        <v>13648.480051737457</v>
      </c>
      <c r="Z101" s="35">
        <f t="shared" si="142"/>
        <v>14616.175697252032</v>
      </c>
      <c r="AA101" s="35">
        <f t="shared" si="142"/>
        <v>15402.68110491112</v>
      </c>
      <c r="AB101" s="35">
        <f t="shared" si="142"/>
        <v>16005.278421146888</v>
      </c>
      <c r="AC101" s="35">
        <f t="shared" si="142"/>
        <v>16421.209024587984</v>
      </c>
      <c r="AD101" s="35">
        <f t="shared" si="142"/>
        <v>16647.672914542491</v>
      </c>
      <c r="AE101" s="35">
        <f t="shared" si="142"/>
        <v>16748.014458834426</v>
      </c>
      <c r="AF101" s="35">
        <f t="shared" si="142"/>
        <v>16800.000000000007</v>
      </c>
      <c r="AG101" s="35">
        <f t="shared" si="142"/>
        <v>16800.000000000007</v>
      </c>
      <c r="AH101" s="35">
        <f t="shared" si="142"/>
        <v>16800.000000000007</v>
      </c>
      <c r="AI101" s="35">
        <f t="shared" si="142"/>
        <v>16800.000000000007</v>
      </c>
    </row>
    <row r="107" spans="1:35" ht="9.75" customHeight="1" x14ac:dyDescent="0.2"/>
    <row r="108" spans="1:35" hidden="1" x14ac:dyDescent="0.2"/>
    <row r="129" spans="29:29" x14ac:dyDescent="0.2">
      <c r="AC129" s="33"/>
    </row>
    <row r="130" spans="29:29" x14ac:dyDescent="0.2">
      <c r="AC130" s="33"/>
    </row>
  </sheetData>
  <sheetProtection password="D70F" sheet="1" objects="1" scenarios="1"/>
  <mergeCells count="5">
    <mergeCell ref="E25:M25"/>
    <mergeCell ref="N25:AB25"/>
    <mergeCell ref="B75:C75"/>
    <mergeCell ref="B76:C76"/>
    <mergeCell ref="B25:D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AI133"/>
  <sheetViews>
    <sheetView workbookViewId="0"/>
  </sheetViews>
  <sheetFormatPr defaultRowHeight="12" outlineLevelRow="1" x14ac:dyDescent="0.2"/>
  <cols>
    <col min="1" max="1" width="45.5703125" style="14" customWidth="1"/>
    <col min="2" max="2" width="9.5703125" style="14" bestFit="1" customWidth="1"/>
    <col min="3" max="3" width="12" style="14" customWidth="1"/>
    <col min="4" max="4" width="13.140625" style="14" customWidth="1"/>
    <col min="5" max="5" width="12.140625" style="14" customWidth="1"/>
    <col min="6" max="6" width="9.140625" style="14" customWidth="1"/>
    <col min="7" max="7" width="9.140625" style="14"/>
    <col min="8" max="8" width="10.42578125" style="14" bestFit="1" customWidth="1"/>
    <col min="9" max="9" width="10.5703125" style="14" bestFit="1" customWidth="1"/>
    <col min="10" max="13" width="9.140625" style="14"/>
    <col min="14" max="14" width="9.140625" style="14" customWidth="1"/>
    <col min="15" max="16384" width="9.140625" style="14"/>
  </cols>
  <sheetData>
    <row r="2" spans="1:17" x14ac:dyDescent="0.2">
      <c r="A2" s="10" t="s">
        <v>21</v>
      </c>
      <c r="B2" s="11">
        <f>B11+B12</f>
        <v>30799.999999999996</v>
      </c>
      <c r="C2" s="12" t="s">
        <v>18</v>
      </c>
      <c r="D2" s="13" t="s">
        <v>23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">
      <c r="A3" s="15" t="s">
        <v>3</v>
      </c>
      <c r="B3" s="16">
        <f>B2*B4</f>
        <v>0</v>
      </c>
      <c r="C3" s="13" t="s">
        <v>18</v>
      </c>
      <c r="D3" s="13" t="s">
        <v>19</v>
      </c>
      <c r="E3" s="13"/>
      <c r="F3" s="13"/>
      <c r="G3" s="13"/>
      <c r="H3" s="17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">
      <c r="A4" s="13" t="s">
        <v>4</v>
      </c>
      <c r="B4" s="18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">
      <c r="A5" s="15" t="s">
        <v>22</v>
      </c>
      <c r="B5" s="19">
        <f>1-B4</f>
        <v>1</v>
      </c>
      <c r="C5" s="13"/>
      <c r="D5" s="13" t="s">
        <v>65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">
      <c r="A6" s="13" t="s">
        <v>73</v>
      </c>
      <c r="B6" s="18">
        <v>0</v>
      </c>
      <c r="C6" s="13"/>
      <c r="D6" s="13" t="s">
        <v>66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15" t="s">
        <v>2</v>
      </c>
      <c r="B7" s="13">
        <f>B11*B6</f>
        <v>0</v>
      </c>
      <c r="C7" s="13" t="s">
        <v>18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">
      <c r="A8" s="15" t="s">
        <v>54</v>
      </c>
      <c r="B8" s="20">
        <f>B7/B2</f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x14ac:dyDescent="0.2">
      <c r="A9" s="13" t="s">
        <v>53</v>
      </c>
      <c r="B9" s="20">
        <f>1-B6</f>
        <v>1</v>
      </c>
      <c r="C9" s="13"/>
      <c r="D9" s="13" t="s">
        <v>51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x14ac:dyDescent="0.2">
      <c r="A10" s="13" t="s">
        <v>74</v>
      </c>
      <c r="B10" s="16">
        <f>B11*(1-B6)</f>
        <v>16800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x14ac:dyDescent="0.2">
      <c r="A11" s="10" t="s">
        <v>24</v>
      </c>
      <c r="B11" s="21">
        <v>16800</v>
      </c>
      <c r="C11" s="12" t="s">
        <v>18</v>
      </c>
      <c r="D11" s="13" t="s">
        <v>25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x14ac:dyDescent="0.2">
      <c r="A12" s="15" t="s">
        <v>0</v>
      </c>
      <c r="B12" s="16">
        <f>B10/(1-B16)*B16</f>
        <v>13999.999999999996</v>
      </c>
      <c r="C12" s="13" t="s">
        <v>18</v>
      </c>
      <c r="D12" s="13" t="s">
        <v>32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x14ac:dyDescent="0.2">
      <c r="A13" s="15" t="s">
        <v>1</v>
      </c>
      <c r="B13" s="22">
        <v>2.7E-2</v>
      </c>
      <c r="C13" s="13" t="s">
        <v>20</v>
      </c>
      <c r="D13" s="13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">
      <c r="A14" s="10" t="s">
        <v>30</v>
      </c>
      <c r="B14" s="23">
        <v>5.0000000000000001E-3</v>
      </c>
      <c r="C14" s="12" t="s">
        <v>20</v>
      </c>
      <c r="D14" s="13" t="s">
        <v>26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">
      <c r="A15" s="10" t="s">
        <v>50</v>
      </c>
      <c r="B15" s="23">
        <v>1.4999999999999999E-2</v>
      </c>
      <c r="C15" s="12" t="s">
        <v>20</v>
      </c>
      <c r="D15" s="13" t="s">
        <v>27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">
      <c r="A16" s="15" t="s">
        <v>5</v>
      </c>
      <c r="B16" s="24">
        <f>(B15-B14)/(B13-B14)</f>
        <v>0.45454545454545447</v>
      </c>
      <c r="C16" s="13"/>
      <c r="D16" s="13" t="s">
        <v>28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33" x14ac:dyDescent="0.2">
      <c r="A17" s="15" t="s">
        <v>13</v>
      </c>
      <c r="B17" s="24">
        <f>1-B16</f>
        <v>0.54545454545454553</v>
      </c>
      <c r="C17" s="13"/>
      <c r="D17" s="13" t="s">
        <v>67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33" x14ac:dyDescent="0.2">
      <c r="A18" s="15" t="s">
        <v>6</v>
      </c>
      <c r="B18" s="16">
        <v>20</v>
      </c>
      <c r="C18" s="13" t="s">
        <v>31</v>
      </c>
      <c r="D18" s="13" t="s">
        <v>29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33" x14ac:dyDescent="0.2">
      <c r="A19" s="13" t="s">
        <v>72</v>
      </c>
      <c r="B19" s="66">
        <v>0.2</v>
      </c>
      <c r="C19" s="13"/>
      <c r="D19" s="13" t="s">
        <v>37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33" x14ac:dyDescent="0.2">
      <c r="A20" s="15" t="s">
        <v>68</v>
      </c>
      <c r="B20" s="16">
        <f>B19*B2</f>
        <v>6160</v>
      </c>
      <c r="C20" s="13" t="s">
        <v>18</v>
      </c>
      <c r="D20" s="13" t="s">
        <v>69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33" x14ac:dyDescent="0.2">
      <c r="A21" s="15" t="s">
        <v>61</v>
      </c>
      <c r="B21" s="25">
        <v>5.0000000000000001E-3</v>
      </c>
      <c r="C21" s="13"/>
      <c r="D21" s="13" t="s">
        <v>63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33" x14ac:dyDescent="0.2">
      <c r="A22" s="15" t="s">
        <v>70</v>
      </c>
      <c r="B22" s="26">
        <v>0.01</v>
      </c>
      <c r="C22" s="13"/>
      <c r="D22" s="13" t="s">
        <v>64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33" x14ac:dyDescent="0.2">
      <c r="A23" s="15" t="s">
        <v>107</v>
      </c>
      <c r="B23" s="26">
        <v>0.7</v>
      </c>
      <c r="C23" s="13"/>
      <c r="D23" s="13" t="s">
        <v>111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33" x14ac:dyDescent="0.2">
      <c r="A24" s="15" t="s">
        <v>108</v>
      </c>
      <c r="B24" s="65">
        <v>10</v>
      </c>
      <c r="C24" s="13"/>
      <c r="D24" s="13" t="s">
        <v>110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33" x14ac:dyDescent="0.2">
      <c r="A25" s="15" t="s">
        <v>109</v>
      </c>
      <c r="B25" s="64">
        <v>0.05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33" x14ac:dyDescent="0.2">
      <c r="A26" s="27" t="s">
        <v>62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33" x14ac:dyDescent="0.2">
      <c r="A27" s="29"/>
    </row>
    <row r="28" spans="1:33" x14ac:dyDescent="0.2">
      <c r="A28" s="30"/>
      <c r="B28" s="87" t="s">
        <v>56</v>
      </c>
      <c r="C28" s="87"/>
      <c r="D28" s="87"/>
      <c r="E28" s="84" t="s">
        <v>39</v>
      </c>
      <c r="F28" s="84"/>
      <c r="G28" s="84"/>
      <c r="H28" s="84"/>
      <c r="I28" s="84"/>
      <c r="J28" s="84"/>
      <c r="K28" s="84"/>
      <c r="L28" s="84"/>
      <c r="M28" s="84"/>
      <c r="N28" s="85" t="s">
        <v>38</v>
      </c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33" s="33" customFormat="1" x14ac:dyDescent="0.2">
      <c r="A29" s="31"/>
      <c r="B29" s="32" t="s">
        <v>8</v>
      </c>
      <c r="E29" s="33">
        <v>2015</v>
      </c>
      <c r="F29" s="33">
        <v>2016</v>
      </c>
      <c r="G29" s="33">
        <v>2017</v>
      </c>
      <c r="H29" s="33">
        <v>2018</v>
      </c>
      <c r="I29" s="33">
        <v>2019</v>
      </c>
      <c r="J29" s="33">
        <v>2020</v>
      </c>
      <c r="K29" s="33">
        <v>2021</v>
      </c>
      <c r="L29" s="33">
        <v>2022</v>
      </c>
      <c r="M29" s="33">
        <v>2023</v>
      </c>
      <c r="N29" s="33">
        <v>2024</v>
      </c>
      <c r="O29" s="33">
        <v>2025</v>
      </c>
      <c r="P29" s="33">
        <v>2026</v>
      </c>
      <c r="Q29" s="33">
        <v>2027</v>
      </c>
      <c r="R29" s="33">
        <v>2028</v>
      </c>
      <c r="S29" s="33">
        <v>2029</v>
      </c>
      <c r="T29" s="33">
        <v>2030</v>
      </c>
      <c r="U29" s="33">
        <v>2031</v>
      </c>
      <c r="V29" s="33">
        <v>2032</v>
      </c>
      <c r="W29" s="33">
        <v>2033</v>
      </c>
      <c r="X29" s="33">
        <v>2034</v>
      </c>
      <c r="Y29" s="33">
        <v>2035</v>
      </c>
      <c r="Z29" s="33">
        <v>2036</v>
      </c>
      <c r="AA29" s="33">
        <v>2037</v>
      </c>
      <c r="AB29" s="33">
        <v>2038</v>
      </c>
      <c r="AC29" s="33">
        <v>2039</v>
      </c>
      <c r="AD29" s="33">
        <v>2040</v>
      </c>
      <c r="AE29" s="33">
        <v>2041</v>
      </c>
      <c r="AF29" s="33">
        <v>2042</v>
      </c>
    </row>
    <row r="30" spans="1:33" x14ac:dyDescent="0.2">
      <c r="A30" s="34" t="s">
        <v>40</v>
      </c>
      <c r="F30" s="35">
        <f>F51</f>
        <v>5893.6062670132869</v>
      </c>
      <c r="G30" s="35">
        <f t="shared" ref="G30:AG30" si="0">G51</f>
        <v>11516.822895045061</v>
      </c>
      <c r="H30" s="35">
        <f t="shared" si="0"/>
        <v>16865.594039510597</v>
      </c>
      <c r="I30" s="35">
        <f t="shared" si="0"/>
        <v>21935.803018156403</v>
      </c>
      <c r="J30" s="35">
        <f t="shared" si="0"/>
        <v>26723.271398495184</v>
      </c>
      <c r="K30" s="35">
        <f t="shared" si="0"/>
        <v>31223.758071552336</v>
      </c>
      <c r="L30" s="35">
        <f t="shared" si="0"/>
        <v>35432.958311718627</v>
      </c>
      <c r="M30" s="35">
        <f t="shared" si="0"/>
        <v>39346.502822500712</v>
      </c>
      <c r="N30" s="35">
        <f t="shared" si="0"/>
        <v>37066.350500944522</v>
      </c>
      <c r="O30" s="35">
        <f t="shared" si="0"/>
        <v>34751.995894564985</v>
      </c>
      <c r="P30" s="35">
        <f t="shared" si="0"/>
        <v>32402.92596908976</v>
      </c>
      <c r="Q30" s="35">
        <f t="shared" si="0"/>
        <v>30018.619994732406</v>
      </c>
      <c r="R30" s="35">
        <f t="shared" si="0"/>
        <v>27598.549430759689</v>
      </c>
      <c r="S30" s="35">
        <f t="shared" si="0"/>
        <v>25142.177808327386</v>
      </c>
      <c r="T30" s="35">
        <f t="shared" si="0"/>
        <v>22648.960611558599</v>
      </c>
      <c r="U30" s="35">
        <f t="shared" si="0"/>
        <v>20118.345156838281</v>
      </c>
      <c r="V30" s="35">
        <f t="shared" si="0"/>
        <v>17549.770470297157</v>
      </c>
      <c r="W30" s="35">
        <f t="shared" si="0"/>
        <v>14942.667163457914</v>
      </c>
      <c r="X30" s="35">
        <f t="shared" si="0"/>
        <v>12296.457307016084</v>
      </c>
      <c r="Y30" s="35">
        <f t="shared" si="0"/>
        <v>9610.5543027276271</v>
      </c>
      <c r="Z30" s="35">
        <f t="shared" si="0"/>
        <v>7243.1564863615586</v>
      </c>
      <c r="AA30" s="35">
        <f t="shared" si="0"/>
        <v>5199.0414357367117</v>
      </c>
      <c r="AB30" s="35">
        <f t="shared" si="0"/>
        <v>3483.0583923392046</v>
      </c>
      <c r="AC30" s="35">
        <f t="shared" si="0"/>
        <v>2100.1293362774472</v>
      </c>
      <c r="AD30" s="35">
        <f t="shared" si="0"/>
        <v>1055.2500773614759</v>
      </c>
      <c r="AE30" s="35">
        <f t="shared" si="0"/>
        <v>353.4913625484773</v>
      </c>
      <c r="AF30" s="35">
        <f t="shared" si="0"/>
        <v>-3.9328540424321545E-12</v>
      </c>
      <c r="AG30" s="35">
        <f t="shared" si="0"/>
        <v>0</v>
      </c>
    </row>
    <row r="31" spans="1:33" x14ac:dyDescent="0.2">
      <c r="A31" s="34" t="s">
        <v>41</v>
      </c>
      <c r="E31" s="35">
        <f>MIN(B20*B5,B2)</f>
        <v>6160</v>
      </c>
      <c r="F31" s="35">
        <f>MAX(0,MIN(F42-F60+E34,$B$20*$B$5))</f>
        <v>6160</v>
      </c>
      <c r="G31" s="35">
        <f>MAX(0,MIN(G42-G60+F34,$B$20*$B$5))</f>
        <v>6160</v>
      </c>
      <c r="H31" s="35">
        <f>MAX(0,MIN(H42-H60+G34,$B$20*$B$5))</f>
        <v>6160</v>
      </c>
      <c r="I31" s="35">
        <f>MAX(0,MIN(I42-I60+H34,$B$20*$B$5))</f>
        <v>6160</v>
      </c>
      <c r="J31" s="35">
        <f>MAX(0,MIN(J42-J60+J73+I34,$B$20*$B$5))</f>
        <v>6160</v>
      </c>
      <c r="K31" s="35">
        <f>MAX(0,MIN(K42-K60+K73+J34,$B$20*$B$5))</f>
        <v>6160</v>
      </c>
      <c r="L31" s="35">
        <f>MAX(0,MIN(L42-L60+L73+K34,$B$20*$B$5))</f>
        <v>6160</v>
      </c>
      <c r="M31" s="35"/>
      <c r="W31" s="35"/>
      <c r="X31" s="35"/>
      <c r="Y31" s="35"/>
      <c r="Z31" s="35"/>
      <c r="AA31" s="35"/>
      <c r="AB31" s="35"/>
    </row>
    <row r="32" spans="1:33" x14ac:dyDescent="0.2">
      <c r="A32" s="34" t="s">
        <v>42</v>
      </c>
      <c r="E32" s="35"/>
      <c r="F32" s="35"/>
      <c r="G32" s="35"/>
      <c r="H32" s="35"/>
      <c r="I32" s="35"/>
      <c r="J32" s="35"/>
      <c r="K32" s="35"/>
      <c r="L32" s="35"/>
      <c r="M32" s="35">
        <f>M42-M60+L34</f>
        <v>2937.5365201513146</v>
      </c>
      <c r="N32" s="35">
        <f>N42-N60+M32</f>
        <v>5217.6888417075024</v>
      </c>
      <c r="O32" s="35">
        <f t="shared" ref="O32:AG32" si="1">O42-O60+N32</f>
        <v>7532.0434480870335</v>
      </c>
      <c r="P32" s="35">
        <f t="shared" si="1"/>
        <v>9881.113373562257</v>
      </c>
      <c r="Q32" s="35">
        <f t="shared" si="1"/>
        <v>12265.419347919609</v>
      </c>
      <c r="R32" s="35">
        <f t="shared" si="1"/>
        <v>14685.489911892322</v>
      </c>
      <c r="S32" s="35">
        <f t="shared" si="1"/>
        <v>17141.861534324624</v>
      </c>
      <c r="T32" s="35">
        <f t="shared" si="1"/>
        <v>19635.07873109341</v>
      </c>
      <c r="U32" s="35">
        <f t="shared" si="1"/>
        <v>22165.694185813729</v>
      </c>
      <c r="V32" s="35">
        <f t="shared" si="1"/>
        <v>24734.268872354853</v>
      </c>
      <c r="W32" s="35">
        <f t="shared" si="1"/>
        <v>27341.372179194095</v>
      </c>
      <c r="X32" s="35">
        <f t="shared" si="1"/>
        <v>29987.582035635925</v>
      </c>
      <c r="Y32" s="35">
        <f t="shared" si="1"/>
        <v>32673.485039924384</v>
      </c>
      <c r="Z32" s="35">
        <f t="shared" si="1"/>
        <v>35040.882856290453</v>
      </c>
      <c r="AA32" s="35">
        <f t="shared" si="1"/>
        <v>37084.997906915305</v>
      </c>
      <c r="AB32" s="35">
        <f t="shared" si="1"/>
        <v>38800.980950312813</v>
      </c>
      <c r="AC32" s="35">
        <f t="shared" si="1"/>
        <v>40183.910006374572</v>
      </c>
      <c r="AD32" s="35">
        <f t="shared" si="1"/>
        <v>41228.78926529055</v>
      </c>
      <c r="AE32" s="35">
        <f t="shared" si="1"/>
        <v>41930.547980103554</v>
      </c>
      <c r="AF32" s="35">
        <f t="shared" si="1"/>
        <v>42284.039342652039</v>
      </c>
      <c r="AG32" s="35">
        <f t="shared" si="1"/>
        <v>42284.039342652039</v>
      </c>
    </row>
    <row r="33" spans="1:33" x14ac:dyDescent="0.2">
      <c r="A33" s="34" t="s">
        <v>43</v>
      </c>
      <c r="E33" s="35"/>
      <c r="F33" s="35"/>
      <c r="G33" s="35"/>
      <c r="H33" s="35"/>
      <c r="I33" s="35"/>
      <c r="J33" s="35"/>
      <c r="K33" s="35"/>
      <c r="L33" s="35"/>
      <c r="M33" s="35">
        <f>M34*$B$17</f>
        <v>1602.2926473552604</v>
      </c>
      <c r="N33" s="35">
        <f t="shared" ref="N33:AG33" si="2">N34*$B$17</f>
        <v>2846.012095476819</v>
      </c>
      <c r="O33" s="35">
        <f t="shared" si="2"/>
        <v>4108.3873353202025</v>
      </c>
      <c r="P33" s="35">
        <f t="shared" si="2"/>
        <v>5389.6982037612352</v>
      </c>
      <c r="Q33" s="35">
        <f t="shared" si="2"/>
        <v>6690.2287352288822</v>
      </c>
      <c r="R33" s="35">
        <f t="shared" si="2"/>
        <v>8010.2672246685461</v>
      </c>
      <c r="S33" s="35">
        <f t="shared" si="2"/>
        <v>9350.1062914498016</v>
      </c>
      <c r="T33" s="35">
        <f t="shared" si="2"/>
        <v>4446.0214846043991</v>
      </c>
      <c r="U33" s="35">
        <f t="shared" si="2"/>
        <v>5826.3571871791182</v>
      </c>
      <c r="V33" s="35">
        <f t="shared" si="2"/>
        <v>7227.3979252924591</v>
      </c>
      <c r="W33" s="35">
        <f t="shared" si="2"/>
        <v>8649.4542744775008</v>
      </c>
      <c r="X33" s="35">
        <f t="shared" si="2"/>
        <v>10092.841468900317</v>
      </c>
      <c r="Y33" s="35">
        <f t="shared" si="2"/>
        <v>11557.879471239477</v>
      </c>
      <c r="Z33" s="35">
        <f t="shared" si="2"/>
        <v>12849.187371075512</v>
      </c>
      <c r="AA33" s="35">
        <f t="shared" si="2"/>
        <v>13964.159216870885</v>
      </c>
      <c r="AB33" s="35">
        <f t="shared" si="2"/>
        <v>14900.149967814979</v>
      </c>
      <c r="AC33" s="35">
        <f t="shared" si="2"/>
        <v>15654.474907485028</v>
      </c>
      <c r="AD33" s="35">
        <f t="shared" si="2"/>
        <v>16224.409048711921</v>
      </c>
      <c r="AE33" s="35">
        <f t="shared" si="2"/>
        <v>16607.186529519015</v>
      </c>
      <c r="AF33" s="35">
        <f t="shared" si="2"/>
        <v>16800.000000000004</v>
      </c>
      <c r="AG33" s="35">
        <f t="shared" si="2"/>
        <v>16800</v>
      </c>
    </row>
    <row r="34" spans="1:33" x14ac:dyDescent="0.2">
      <c r="A34" s="35" t="s">
        <v>44</v>
      </c>
      <c r="E34" s="35">
        <f>E35-E30-E31</f>
        <v>24639.999999999996</v>
      </c>
      <c r="F34" s="35">
        <f t="shared" ref="F34:AG34" si="3">F35-F30-F31</f>
        <v>18746.393732986711</v>
      </c>
      <c r="G34" s="35">
        <f t="shared" si="3"/>
        <v>13123.177104954935</v>
      </c>
      <c r="H34" s="35">
        <f t="shared" si="3"/>
        <v>7774.4059604893991</v>
      </c>
      <c r="I34" s="35">
        <f t="shared" si="3"/>
        <v>2704.1969818435937</v>
      </c>
      <c r="J34" s="35">
        <f>J35-J30-J31+J73</f>
        <v>9400.767944156838</v>
      </c>
      <c r="K34" s="35">
        <f t="shared" ref="K34" si="4">K35-K30-K31+K73</f>
        <v>4900.2812710996859</v>
      </c>
      <c r="L34" s="35">
        <f t="shared" ref="L34" si="5">L35-L30-L31+L73</f>
        <v>691.0810309333956</v>
      </c>
      <c r="M34" s="35">
        <f t="shared" ref="M34" si="6">M35-M30-M31+M73</f>
        <v>2937.5365201513105</v>
      </c>
      <c r="N34" s="35">
        <f t="shared" ref="N34" si="7">N35-N30-N31+N73</f>
        <v>5217.6888417075006</v>
      </c>
      <c r="O34" s="35">
        <f t="shared" ref="O34" si="8">O35-O30-O31+O73</f>
        <v>7532.0434480870372</v>
      </c>
      <c r="P34" s="35">
        <f t="shared" ref="P34" si="9">P35-P30-P31+P73</f>
        <v>9881.1133735622625</v>
      </c>
      <c r="Q34" s="35">
        <f t="shared" ref="Q34" si="10">Q35-Q30-Q31+Q73</f>
        <v>12265.419347919616</v>
      </c>
      <c r="R34" s="35">
        <f t="shared" ref="R34" si="11">R35-R30-R31+R73</f>
        <v>14685.489911892333</v>
      </c>
      <c r="S34" s="35">
        <f t="shared" ref="S34" si="12">S35-S30-S31+S73</f>
        <v>17141.861534324635</v>
      </c>
      <c r="T34" s="35">
        <f t="shared" si="3"/>
        <v>8151.039388441397</v>
      </c>
      <c r="U34" s="35">
        <f t="shared" si="3"/>
        <v>10681.654843161716</v>
      </c>
      <c r="V34" s="35">
        <f t="shared" si="3"/>
        <v>13250.229529702839</v>
      </c>
      <c r="W34" s="35">
        <f t="shared" si="3"/>
        <v>15857.332836542082</v>
      </c>
      <c r="X34" s="35">
        <f t="shared" si="3"/>
        <v>18503.542692983912</v>
      </c>
      <c r="Y34" s="35">
        <f t="shared" si="3"/>
        <v>21189.445697272371</v>
      </c>
      <c r="Z34" s="35">
        <f t="shared" si="3"/>
        <v>23556.843513638436</v>
      </c>
      <c r="AA34" s="35">
        <f t="shared" si="3"/>
        <v>25600.958564263285</v>
      </c>
      <c r="AB34" s="35">
        <f t="shared" si="3"/>
        <v>27316.941607660792</v>
      </c>
      <c r="AC34" s="35">
        <f t="shared" si="3"/>
        <v>28699.870663722548</v>
      </c>
      <c r="AD34" s="35">
        <f t="shared" si="3"/>
        <v>29744.749922638519</v>
      </c>
      <c r="AE34" s="35">
        <f t="shared" si="3"/>
        <v>30446.508637451519</v>
      </c>
      <c r="AF34" s="35">
        <f t="shared" si="3"/>
        <v>30800</v>
      </c>
      <c r="AG34" s="35">
        <f t="shared" si="3"/>
        <v>30799.999999999996</v>
      </c>
    </row>
    <row r="35" spans="1:33" s="33" customFormat="1" x14ac:dyDescent="0.2">
      <c r="A35" s="36" t="s">
        <v>45</v>
      </c>
      <c r="E35" s="37">
        <f>B2</f>
        <v>30799.999999999996</v>
      </c>
      <c r="F35" s="37">
        <f>E35-E31*$B$8</f>
        <v>30799.999999999996</v>
      </c>
      <c r="G35" s="37">
        <f>F35-F31*$B$8</f>
        <v>30799.999999999996</v>
      </c>
      <c r="H35" s="37">
        <f>G35-G31*$B$8</f>
        <v>30799.999999999996</v>
      </c>
      <c r="I35" s="37">
        <f>H35-H31*$B$8</f>
        <v>30799.999999999996</v>
      </c>
      <c r="J35" s="37">
        <f>I35-I31*$B$8</f>
        <v>30799.999999999996</v>
      </c>
      <c r="K35" s="37">
        <f>J35</f>
        <v>30799.999999999996</v>
      </c>
      <c r="L35" s="37">
        <f t="shared" ref="L35:AG35" si="13">K35</f>
        <v>30799.999999999996</v>
      </c>
      <c r="M35" s="37">
        <f t="shared" si="13"/>
        <v>30799.999999999996</v>
      </c>
      <c r="N35" s="37">
        <f t="shared" si="13"/>
        <v>30799.999999999996</v>
      </c>
      <c r="O35" s="37">
        <f t="shared" si="13"/>
        <v>30799.999999999996</v>
      </c>
      <c r="P35" s="37">
        <f t="shared" si="13"/>
        <v>30799.999999999996</v>
      </c>
      <c r="Q35" s="37">
        <f t="shared" si="13"/>
        <v>30799.999999999996</v>
      </c>
      <c r="R35" s="37">
        <f t="shared" si="13"/>
        <v>30799.999999999996</v>
      </c>
      <c r="S35" s="37">
        <f t="shared" si="13"/>
        <v>30799.999999999996</v>
      </c>
      <c r="T35" s="37">
        <f t="shared" si="13"/>
        <v>30799.999999999996</v>
      </c>
      <c r="U35" s="37">
        <f t="shared" si="13"/>
        <v>30799.999999999996</v>
      </c>
      <c r="V35" s="37">
        <f t="shared" si="13"/>
        <v>30799.999999999996</v>
      </c>
      <c r="W35" s="37">
        <f t="shared" si="13"/>
        <v>30799.999999999996</v>
      </c>
      <c r="X35" s="37">
        <f t="shared" si="13"/>
        <v>30799.999999999996</v>
      </c>
      <c r="Y35" s="37">
        <f t="shared" si="13"/>
        <v>30799.999999999996</v>
      </c>
      <c r="Z35" s="37">
        <f t="shared" si="13"/>
        <v>30799.999999999996</v>
      </c>
      <c r="AA35" s="37">
        <f t="shared" si="13"/>
        <v>30799.999999999996</v>
      </c>
      <c r="AB35" s="37">
        <f t="shared" si="13"/>
        <v>30799.999999999996</v>
      </c>
      <c r="AC35" s="37">
        <f t="shared" si="13"/>
        <v>30799.999999999996</v>
      </c>
      <c r="AD35" s="37">
        <f t="shared" si="13"/>
        <v>30799.999999999996</v>
      </c>
      <c r="AE35" s="37">
        <f t="shared" si="13"/>
        <v>30799.999999999996</v>
      </c>
      <c r="AF35" s="37">
        <f t="shared" si="13"/>
        <v>30799.999999999996</v>
      </c>
      <c r="AG35" s="37">
        <f t="shared" si="13"/>
        <v>30799.999999999996</v>
      </c>
    </row>
    <row r="36" spans="1:33" s="33" customFormat="1" x14ac:dyDescent="0.2">
      <c r="A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33" s="33" customFormat="1" x14ac:dyDescent="0.2">
      <c r="A37" s="36" t="s">
        <v>57</v>
      </c>
      <c r="E37" s="35"/>
      <c r="F37" s="35">
        <f>$B$21*$B$11</f>
        <v>84</v>
      </c>
      <c r="G37" s="35">
        <f t="shared" ref="G37:M37" si="14">$B$21*$B$11</f>
        <v>84</v>
      </c>
      <c r="H37" s="35">
        <f t="shared" si="14"/>
        <v>84</v>
      </c>
      <c r="I37" s="35">
        <f t="shared" si="14"/>
        <v>84</v>
      </c>
      <c r="J37" s="35">
        <f t="shared" si="14"/>
        <v>84</v>
      </c>
      <c r="K37" s="35">
        <f t="shared" si="14"/>
        <v>84</v>
      </c>
      <c r="L37" s="35">
        <f t="shared" si="14"/>
        <v>84</v>
      </c>
      <c r="M37" s="35">
        <f t="shared" si="14"/>
        <v>84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33" x14ac:dyDescent="0.2">
      <c r="A38" s="34" t="s">
        <v>70</v>
      </c>
      <c r="E38" s="38"/>
      <c r="F38" s="38">
        <f t="shared" ref="F38:M38" si="15">E31*$B$17*$B$22</f>
        <v>33.600000000000009</v>
      </c>
      <c r="G38" s="38">
        <f t="shared" si="15"/>
        <v>33.600000000000009</v>
      </c>
      <c r="H38" s="38">
        <f t="shared" si="15"/>
        <v>33.600000000000009</v>
      </c>
      <c r="I38" s="38">
        <f t="shared" si="15"/>
        <v>33.600000000000009</v>
      </c>
      <c r="J38" s="38">
        <f t="shared" si="15"/>
        <v>33.600000000000009</v>
      </c>
      <c r="K38" s="38">
        <f t="shared" si="15"/>
        <v>33.600000000000009</v>
      </c>
      <c r="L38" s="38">
        <f t="shared" si="15"/>
        <v>33.600000000000009</v>
      </c>
      <c r="M38" s="38">
        <f t="shared" si="15"/>
        <v>33.600000000000009</v>
      </c>
    </row>
    <row r="39" spans="1:33" hidden="1" x14ac:dyDescent="0.2">
      <c r="A39" s="34"/>
      <c r="E39" s="38"/>
      <c r="F39" s="38">
        <v>84</v>
      </c>
      <c r="G39" s="38">
        <v>84</v>
      </c>
      <c r="H39" s="38">
        <v>84</v>
      </c>
      <c r="I39" s="38">
        <v>84</v>
      </c>
      <c r="J39" s="38">
        <v>84</v>
      </c>
      <c r="K39" s="38">
        <v>84</v>
      </c>
      <c r="L39" s="38">
        <v>84</v>
      </c>
      <c r="M39" s="38">
        <v>84</v>
      </c>
    </row>
    <row r="40" spans="1:33" hidden="1" x14ac:dyDescent="0.2">
      <c r="A40" s="34"/>
      <c r="E40" s="38"/>
      <c r="F40" s="38">
        <v>32.727272727272734</v>
      </c>
      <c r="G40" s="38">
        <v>32.727272727272734</v>
      </c>
      <c r="H40" s="38">
        <v>32.727272727272734</v>
      </c>
      <c r="I40" s="38">
        <v>32.727272727272734</v>
      </c>
      <c r="J40" s="38">
        <v>32.727272727272734</v>
      </c>
      <c r="K40" s="38">
        <v>32.727272727272734</v>
      </c>
      <c r="L40" s="38">
        <v>12.380837023408199</v>
      </c>
      <c r="M40" s="38">
        <v>12.964106801424096</v>
      </c>
    </row>
    <row r="41" spans="1:33" x14ac:dyDescent="0.2">
      <c r="A41" s="34"/>
      <c r="F41" s="35"/>
    </row>
    <row r="42" spans="1:33" s="33" customFormat="1" x14ac:dyDescent="0.2">
      <c r="A42" s="36" t="s">
        <v>7</v>
      </c>
      <c r="C42" s="37"/>
      <c r="F42" s="37">
        <f>SUM(F43:F50)</f>
        <v>358.79373298671237</v>
      </c>
      <c r="G42" s="37">
        <f t="shared" ref="G42:AG42" si="16">SUM(G43:G50)</f>
        <v>717.58746597342474</v>
      </c>
      <c r="H42" s="37">
        <f t="shared" si="16"/>
        <v>1076.3811989601372</v>
      </c>
      <c r="I42" s="37">
        <f t="shared" si="16"/>
        <v>1435.1749319468495</v>
      </c>
      <c r="J42" s="37">
        <f t="shared" si="16"/>
        <v>1793.9686649335617</v>
      </c>
      <c r="K42" s="37">
        <f t="shared" si="16"/>
        <v>2152.762397920274</v>
      </c>
      <c r="L42" s="37">
        <f t="shared" si="16"/>
        <v>2511.5561309069863</v>
      </c>
      <c r="M42" s="37">
        <f t="shared" si="16"/>
        <v>2870.3498638936985</v>
      </c>
      <c r="N42" s="37">
        <f t="shared" si="16"/>
        <v>2870.3498638936985</v>
      </c>
      <c r="O42" s="37">
        <f t="shared" si="16"/>
        <v>2870.3498638936985</v>
      </c>
      <c r="P42" s="37">
        <f t="shared" si="16"/>
        <v>2870.3498638936985</v>
      </c>
      <c r="Q42" s="37">
        <f t="shared" si="16"/>
        <v>2870.3498638936985</v>
      </c>
      <c r="R42" s="37">
        <f t="shared" si="16"/>
        <v>2870.3498638936985</v>
      </c>
      <c r="S42" s="37">
        <f t="shared" si="16"/>
        <v>2870.3498638936985</v>
      </c>
      <c r="T42" s="37">
        <f t="shared" si="16"/>
        <v>2870.3498638936985</v>
      </c>
      <c r="U42" s="37">
        <f t="shared" si="16"/>
        <v>2870.3498638936985</v>
      </c>
      <c r="V42" s="37">
        <f t="shared" si="16"/>
        <v>2870.3498638936985</v>
      </c>
      <c r="W42" s="37">
        <f t="shared" si="16"/>
        <v>2870.3498638936985</v>
      </c>
      <c r="X42" s="37">
        <f t="shared" si="16"/>
        <v>2870.3498638936985</v>
      </c>
      <c r="Y42" s="37">
        <f t="shared" si="16"/>
        <v>2870.3498638936985</v>
      </c>
      <c r="Z42" s="37">
        <f t="shared" si="16"/>
        <v>2511.5561309069863</v>
      </c>
      <c r="AA42" s="37">
        <f t="shared" si="16"/>
        <v>2152.762397920274</v>
      </c>
      <c r="AB42" s="37">
        <f t="shared" si="16"/>
        <v>1793.9686649335617</v>
      </c>
      <c r="AC42" s="37">
        <f t="shared" si="16"/>
        <v>1435.1749319468495</v>
      </c>
      <c r="AD42" s="37">
        <f t="shared" si="16"/>
        <v>1076.3811989601372</v>
      </c>
      <c r="AE42" s="37">
        <f t="shared" si="16"/>
        <v>717.58746597342474</v>
      </c>
      <c r="AF42" s="37">
        <f t="shared" si="16"/>
        <v>358.79373298671237</v>
      </c>
      <c r="AG42" s="37">
        <f t="shared" si="16"/>
        <v>0</v>
      </c>
    </row>
    <row r="43" spans="1:33" outlineLevel="1" x14ac:dyDescent="0.2">
      <c r="A43" s="34">
        <v>2016</v>
      </c>
      <c r="F43" s="35">
        <f>PMT($B$15,$B$18,-$E$31*$B$9)</f>
        <v>358.79373298671237</v>
      </c>
      <c r="G43" s="35">
        <f t="shared" ref="G43:Y43" si="17">PMT($B$15,$B$18,-$E$31*$B$9)</f>
        <v>358.79373298671237</v>
      </c>
      <c r="H43" s="35">
        <f t="shared" si="17"/>
        <v>358.79373298671237</v>
      </c>
      <c r="I43" s="35">
        <f t="shared" si="17"/>
        <v>358.79373298671237</v>
      </c>
      <c r="J43" s="35">
        <f t="shared" si="17"/>
        <v>358.79373298671237</v>
      </c>
      <c r="K43" s="35">
        <f t="shared" si="17"/>
        <v>358.79373298671237</v>
      </c>
      <c r="L43" s="35">
        <f t="shared" si="17"/>
        <v>358.79373298671237</v>
      </c>
      <c r="M43" s="35">
        <f t="shared" si="17"/>
        <v>358.79373298671237</v>
      </c>
      <c r="N43" s="35">
        <f t="shared" si="17"/>
        <v>358.79373298671237</v>
      </c>
      <c r="O43" s="35">
        <f t="shared" si="17"/>
        <v>358.79373298671237</v>
      </c>
      <c r="P43" s="35">
        <f t="shared" si="17"/>
        <v>358.79373298671237</v>
      </c>
      <c r="Q43" s="35">
        <f t="shared" si="17"/>
        <v>358.79373298671237</v>
      </c>
      <c r="R43" s="35">
        <f t="shared" si="17"/>
        <v>358.79373298671237</v>
      </c>
      <c r="S43" s="35">
        <f t="shared" si="17"/>
        <v>358.79373298671237</v>
      </c>
      <c r="T43" s="35">
        <f t="shared" si="17"/>
        <v>358.79373298671237</v>
      </c>
      <c r="U43" s="35">
        <f t="shared" si="17"/>
        <v>358.79373298671237</v>
      </c>
      <c r="V43" s="35">
        <f t="shared" si="17"/>
        <v>358.79373298671237</v>
      </c>
      <c r="W43" s="35">
        <f t="shared" si="17"/>
        <v>358.79373298671237</v>
      </c>
      <c r="X43" s="35">
        <f t="shared" si="17"/>
        <v>358.79373298671237</v>
      </c>
      <c r="Y43" s="35">
        <f t="shared" si="17"/>
        <v>358.79373298671237</v>
      </c>
    </row>
    <row r="44" spans="1:33" outlineLevel="1" x14ac:dyDescent="0.2">
      <c r="A44" s="34">
        <v>2017</v>
      </c>
      <c r="F44" s="35"/>
      <c r="G44" s="35">
        <f>PMT($B$15,$B$18,-$F$31*$B$9)</f>
        <v>358.79373298671237</v>
      </c>
      <c r="H44" s="35">
        <f t="shared" ref="H44:Z44" si="18">PMT($B$15,$B$18,-$F$31*$B$9)</f>
        <v>358.79373298671237</v>
      </c>
      <c r="I44" s="35">
        <f t="shared" si="18"/>
        <v>358.79373298671237</v>
      </c>
      <c r="J44" s="35">
        <f t="shared" si="18"/>
        <v>358.79373298671237</v>
      </c>
      <c r="K44" s="35">
        <f t="shared" si="18"/>
        <v>358.79373298671237</v>
      </c>
      <c r="L44" s="35">
        <f t="shared" si="18"/>
        <v>358.79373298671237</v>
      </c>
      <c r="M44" s="35">
        <f t="shared" si="18"/>
        <v>358.79373298671237</v>
      </c>
      <c r="N44" s="35">
        <f t="shared" si="18"/>
        <v>358.79373298671237</v>
      </c>
      <c r="O44" s="35">
        <f t="shared" si="18"/>
        <v>358.79373298671237</v>
      </c>
      <c r="P44" s="35">
        <f t="shared" si="18"/>
        <v>358.79373298671237</v>
      </c>
      <c r="Q44" s="35">
        <f t="shared" si="18"/>
        <v>358.79373298671237</v>
      </c>
      <c r="R44" s="35">
        <f t="shared" si="18"/>
        <v>358.79373298671237</v>
      </c>
      <c r="S44" s="35">
        <f t="shared" si="18"/>
        <v>358.79373298671237</v>
      </c>
      <c r="T44" s="35">
        <f t="shared" si="18"/>
        <v>358.79373298671237</v>
      </c>
      <c r="U44" s="35">
        <f t="shared" si="18"/>
        <v>358.79373298671237</v>
      </c>
      <c r="V44" s="35">
        <f t="shared" si="18"/>
        <v>358.79373298671237</v>
      </c>
      <c r="W44" s="35">
        <f t="shared" si="18"/>
        <v>358.79373298671237</v>
      </c>
      <c r="X44" s="35">
        <f t="shared" si="18"/>
        <v>358.79373298671237</v>
      </c>
      <c r="Y44" s="35">
        <f t="shared" si="18"/>
        <v>358.79373298671237</v>
      </c>
      <c r="Z44" s="35">
        <f t="shared" si="18"/>
        <v>358.79373298671237</v>
      </c>
    </row>
    <row r="45" spans="1:33" outlineLevel="1" x14ac:dyDescent="0.2">
      <c r="A45" s="34">
        <v>2018</v>
      </c>
      <c r="F45" s="35"/>
      <c r="H45" s="35">
        <f>PMT($B$15,$B$18,-$G$31*$B$9)</f>
        <v>358.79373298671237</v>
      </c>
      <c r="I45" s="35">
        <f t="shared" ref="I45:AA45" si="19">PMT($B$15,$B$18,-$G$31*$B$9)</f>
        <v>358.79373298671237</v>
      </c>
      <c r="J45" s="35">
        <f t="shared" si="19"/>
        <v>358.79373298671237</v>
      </c>
      <c r="K45" s="35">
        <f t="shared" si="19"/>
        <v>358.79373298671237</v>
      </c>
      <c r="L45" s="35">
        <f t="shared" si="19"/>
        <v>358.79373298671237</v>
      </c>
      <c r="M45" s="35">
        <f t="shared" si="19"/>
        <v>358.79373298671237</v>
      </c>
      <c r="N45" s="35">
        <f t="shared" si="19"/>
        <v>358.79373298671237</v>
      </c>
      <c r="O45" s="35">
        <f t="shared" si="19"/>
        <v>358.79373298671237</v>
      </c>
      <c r="P45" s="35">
        <f t="shared" si="19"/>
        <v>358.79373298671237</v>
      </c>
      <c r="Q45" s="35">
        <f t="shared" si="19"/>
        <v>358.79373298671237</v>
      </c>
      <c r="R45" s="35">
        <f t="shared" si="19"/>
        <v>358.79373298671237</v>
      </c>
      <c r="S45" s="35">
        <f t="shared" si="19"/>
        <v>358.79373298671237</v>
      </c>
      <c r="T45" s="35">
        <f t="shared" si="19"/>
        <v>358.79373298671237</v>
      </c>
      <c r="U45" s="35">
        <f t="shared" si="19"/>
        <v>358.79373298671237</v>
      </c>
      <c r="V45" s="35">
        <f t="shared" si="19"/>
        <v>358.79373298671237</v>
      </c>
      <c r="W45" s="35">
        <f t="shared" si="19"/>
        <v>358.79373298671237</v>
      </c>
      <c r="X45" s="35">
        <f t="shared" si="19"/>
        <v>358.79373298671237</v>
      </c>
      <c r="Y45" s="35">
        <f t="shared" si="19"/>
        <v>358.79373298671237</v>
      </c>
      <c r="Z45" s="35">
        <f t="shared" si="19"/>
        <v>358.79373298671237</v>
      </c>
      <c r="AA45" s="35">
        <f t="shared" si="19"/>
        <v>358.79373298671237</v>
      </c>
    </row>
    <row r="46" spans="1:33" outlineLevel="1" x14ac:dyDescent="0.2">
      <c r="A46" s="34">
        <v>2019</v>
      </c>
      <c r="F46" s="35"/>
      <c r="I46" s="35">
        <f>PMT($B$15,$B$18,-$H$31*$B$9)</f>
        <v>358.79373298671237</v>
      </c>
      <c r="J46" s="35">
        <f t="shared" ref="J46:AB46" si="20">PMT($B$15,$B$18,-$H$31*$B$9)</f>
        <v>358.79373298671237</v>
      </c>
      <c r="K46" s="35">
        <f t="shared" si="20"/>
        <v>358.79373298671237</v>
      </c>
      <c r="L46" s="35">
        <f t="shared" si="20"/>
        <v>358.79373298671237</v>
      </c>
      <c r="M46" s="35">
        <f t="shared" si="20"/>
        <v>358.79373298671237</v>
      </c>
      <c r="N46" s="35">
        <f t="shared" si="20"/>
        <v>358.79373298671237</v>
      </c>
      <c r="O46" s="35">
        <f t="shared" si="20"/>
        <v>358.79373298671237</v>
      </c>
      <c r="P46" s="35">
        <f t="shared" si="20"/>
        <v>358.79373298671237</v>
      </c>
      <c r="Q46" s="35">
        <f t="shared" si="20"/>
        <v>358.79373298671237</v>
      </c>
      <c r="R46" s="35">
        <f t="shared" si="20"/>
        <v>358.79373298671237</v>
      </c>
      <c r="S46" s="35">
        <f t="shared" si="20"/>
        <v>358.79373298671237</v>
      </c>
      <c r="T46" s="35">
        <f t="shared" si="20"/>
        <v>358.79373298671237</v>
      </c>
      <c r="U46" s="35">
        <f t="shared" si="20"/>
        <v>358.79373298671237</v>
      </c>
      <c r="V46" s="35">
        <f t="shared" si="20"/>
        <v>358.79373298671237</v>
      </c>
      <c r="W46" s="35">
        <f t="shared" si="20"/>
        <v>358.79373298671237</v>
      </c>
      <c r="X46" s="35">
        <f t="shared" si="20"/>
        <v>358.79373298671237</v>
      </c>
      <c r="Y46" s="35">
        <f t="shared" si="20"/>
        <v>358.79373298671237</v>
      </c>
      <c r="Z46" s="35">
        <f t="shared" si="20"/>
        <v>358.79373298671237</v>
      </c>
      <c r="AA46" s="35">
        <f t="shared" si="20"/>
        <v>358.79373298671237</v>
      </c>
      <c r="AB46" s="35">
        <f t="shared" si="20"/>
        <v>358.79373298671237</v>
      </c>
    </row>
    <row r="47" spans="1:33" outlineLevel="1" x14ac:dyDescent="0.2">
      <c r="A47" s="34">
        <v>2020</v>
      </c>
      <c r="F47" s="35"/>
      <c r="J47" s="35">
        <f>PMT($B$15,$B$18,-$I$31*$B$9)</f>
        <v>358.79373298671237</v>
      </c>
      <c r="K47" s="35">
        <f t="shared" ref="K47:AC47" si="21">PMT($B$15,$B$18,-$I$31*$B$9)</f>
        <v>358.79373298671237</v>
      </c>
      <c r="L47" s="35">
        <f t="shared" si="21"/>
        <v>358.79373298671237</v>
      </c>
      <c r="M47" s="35">
        <f t="shared" si="21"/>
        <v>358.79373298671237</v>
      </c>
      <c r="N47" s="35">
        <f t="shared" si="21"/>
        <v>358.79373298671237</v>
      </c>
      <c r="O47" s="35">
        <f t="shared" si="21"/>
        <v>358.79373298671237</v>
      </c>
      <c r="P47" s="35">
        <f t="shared" si="21"/>
        <v>358.79373298671237</v>
      </c>
      <c r="Q47" s="35">
        <f t="shared" si="21"/>
        <v>358.79373298671237</v>
      </c>
      <c r="R47" s="35">
        <f t="shared" si="21"/>
        <v>358.79373298671237</v>
      </c>
      <c r="S47" s="35">
        <f t="shared" si="21"/>
        <v>358.79373298671237</v>
      </c>
      <c r="T47" s="35">
        <f t="shared" si="21"/>
        <v>358.79373298671237</v>
      </c>
      <c r="U47" s="35">
        <f t="shared" si="21"/>
        <v>358.79373298671237</v>
      </c>
      <c r="V47" s="35">
        <f t="shared" si="21"/>
        <v>358.79373298671237</v>
      </c>
      <c r="W47" s="35">
        <f t="shared" si="21"/>
        <v>358.79373298671237</v>
      </c>
      <c r="X47" s="35">
        <f t="shared" si="21"/>
        <v>358.79373298671237</v>
      </c>
      <c r="Y47" s="35">
        <f t="shared" si="21"/>
        <v>358.79373298671237</v>
      </c>
      <c r="Z47" s="35">
        <f t="shared" si="21"/>
        <v>358.79373298671237</v>
      </c>
      <c r="AA47" s="35">
        <f t="shared" si="21"/>
        <v>358.79373298671237</v>
      </c>
      <c r="AB47" s="35">
        <f t="shared" si="21"/>
        <v>358.79373298671237</v>
      </c>
      <c r="AC47" s="35">
        <f t="shared" si="21"/>
        <v>358.79373298671237</v>
      </c>
    </row>
    <row r="48" spans="1:33" outlineLevel="1" x14ac:dyDescent="0.2">
      <c r="A48" s="34">
        <v>2021</v>
      </c>
      <c r="F48" s="35"/>
      <c r="K48" s="35">
        <f t="shared" ref="K48:AD48" si="22">PMT($B$15,$B$18,-$J$31)</f>
        <v>358.79373298671237</v>
      </c>
      <c r="L48" s="35">
        <f t="shared" si="22"/>
        <v>358.79373298671237</v>
      </c>
      <c r="M48" s="35">
        <f t="shared" si="22"/>
        <v>358.79373298671237</v>
      </c>
      <c r="N48" s="35">
        <f t="shared" si="22"/>
        <v>358.79373298671237</v>
      </c>
      <c r="O48" s="35">
        <f t="shared" si="22"/>
        <v>358.79373298671237</v>
      </c>
      <c r="P48" s="35">
        <f t="shared" si="22"/>
        <v>358.79373298671237</v>
      </c>
      <c r="Q48" s="35">
        <f t="shared" si="22"/>
        <v>358.79373298671237</v>
      </c>
      <c r="R48" s="35">
        <f t="shared" si="22"/>
        <v>358.79373298671237</v>
      </c>
      <c r="S48" s="35">
        <f t="shared" si="22"/>
        <v>358.79373298671237</v>
      </c>
      <c r="T48" s="35">
        <f t="shared" si="22"/>
        <v>358.79373298671237</v>
      </c>
      <c r="U48" s="35">
        <f t="shared" si="22"/>
        <v>358.79373298671237</v>
      </c>
      <c r="V48" s="35">
        <f t="shared" si="22"/>
        <v>358.79373298671237</v>
      </c>
      <c r="W48" s="35">
        <f t="shared" si="22"/>
        <v>358.79373298671237</v>
      </c>
      <c r="X48" s="35">
        <f t="shared" si="22"/>
        <v>358.79373298671237</v>
      </c>
      <c r="Y48" s="35">
        <f t="shared" si="22"/>
        <v>358.79373298671237</v>
      </c>
      <c r="Z48" s="35">
        <f t="shared" si="22"/>
        <v>358.79373298671237</v>
      </c>
      <c r="AA48" s="35">
        <f t="shared" si="22"/>
        <v>358.79373298671237</v>
      </c>
      <c r="AB48" s="35">
        <f t="shared" si="22"/>
        <v>358.79373298671237</v>
      </c>
      <c r="AC48" s="35">
        <f t="shared" si="22"/>
        <v>358.79373298671237</v>
      </c>
      <c r="AD48" s="35">
        <f t="shared" si="22"/>
        <v>358.79373298671237</v>
      </c>
    </row>
    <row r="49" spans="1:33" outlineLevel="1" x14ac:dyDescent="0.2">
      <c r="A49" s="34">
        <v>2022</v>
      </c>
      <c r="F49" s="35"/>
      <c r="L49" s="35">
        <f t="shared" ref="L49:AE49" si="23">PMT($B$15,$B$18,-$K$31)</f>
        <v>358.79373298671237</v>
      </c>
      <c r="M49" s="35">
        <f t="shared" si="23"/>
        <v>358.79373298671237</v>
      </c>
      <c r="N49" s="35">
        <f t="shared" si="23"/>
        <v>358.79373298671237</v>
      </c>
      <c r="O49" s="35">
        <f t="shared" si="23"/>
        <v>358.79373298671237</v>
      </c>
      <c r="P49" s="35">
        <f t="shared" si="23"/>
        <v>358.79373298671237</v>
      </c>
      <c r="Q49" s="35">
        <f t="shared" si="23"/>
        <v>358.79373298671237</v>
      </c>
      <c r="R49" s="35">
        <f t="shared" si="23"/>
        <v>358.79373298671237</v>
      </c>
      <c r="S49" s="35">
        <f t="shared" si="23"/>
        <v>358.79373298671237</v>
      </c>
      <c r="T49" s="35">
        <f t="shared" si="23"/>
        <v>358.79373298671237</v>
      </c>
      <c r="U49" s="35">
        <f t="shared" si="23"/>
        <v>358.79373298671237</v>
      </c>
      <c r="V49" s="35">
        <f t="shared" si="23"/>
        <v>358.79373298671237</v>
      </c>
      <c r="W49" s="35">
        <f t="shared" si="23"/>
        <v>358.79373298671237</v>
      </c>
      <c r="X49" s="35">
        <f t="shared" si="23"/>
        <v>358.79373298671237</v>
      </c>
      <c r="Y49" s="35">
        <f t="shared" si="23"/>
        <v>358.79373298671237</v>
      </c>
      <c r="Z49" s="35">
        <f t="shared" si="23"/>
        <v>358.79373298671237</v>
      </c>
      <c r="AA49" s="35">
        <f t="shared" si="23"/>
        <v>358.79373298671237</v>
      </c>
      <c r="AB49" s="35">
        <f t="shared" si="23"/>
        <v>358.79373298671237</v>
      </c>
      <c r="AC49" s="35">
        <f t="shared" si="23"/>
        <v>358.79373298671237</v>
      </c>
      <c r="AD49" s="35">
        <f t="shared" si="23"/>
        <v>358.79373298671237</v>
      </c>
      <c r="AE49" s="35">
        <f t="shared" si="23"/>
        <v>358.79373298671237</v>
      </c>
    </row>
    <row r="50" spans="1:33" outlineLevel="1" x14ac:dyDescent="0.2">
      <c r="A50" s="34">
        <v>2023</v>
      </c>
      <c r="F50" s="35"/>
      <c r="L50" s="35"/>
      <c r="M50" s="35">
        <f t="shared" ref="M50:AF50" si="24">PMT($B$15,$B$18,-$L$31)</f>
        <v>358.79373298671237</v>
      </c>
      <c r="N50" s="35">
        <f t="shared" si="24"/>
        <v>358.79373298671237</v>
      </c>
      <c r="O50" s="35">
        <f t="shared" si="24"/>
        <v>358.79373298671237</v>
      </c>
      <c r="P50" s="35">
        <f t="shared" si="24"/>
        <v>358.79373298671237</v>
      </c>
      <c r="Q50" s="35">
        <f t="shared" si="24"/>
        <v>358.79373298671237</v>
      </c>
      <c r="R50" s="35">
        <f t="shared" si="24"/>
        <v>358.79373298671237</v>
      </c>
      <c r="S50" s="35">
        <f t="shared" si="24"/>
        <v>358.79373298671237</v>
      </c>
      <c r="T50" s="35">
        <f t="shared" si="24"/>
        <v>358.79373298671237</v>
      </c>
      <c r="U50" s="35">
        <f t="shared" si="24"/>
        <v>358.79373298671237</v>
      </c>
      <c r="V50" s="35">
        <f t="shared" si="24"/>
        <v>358.79373298671237</v>
      </c>
      <c r="W50" s="35">
        <f t="shared" si="24"/>
        <v>358.79373298671237</v>
      </c>
      <c r="X50" s="35">
        <f t="shared" si="24"/>
        <v>358.79373298671237</v>
      </c>
      <c r="Y50" s="35">
        <f t="shared" si="24"/>
        <v>358.79373298671237</v>
      </c>
      <c r="Z50" s="35">
        <f t="shared" si="24"/>
        <v>358.79373298671237</v>
      </c>
      <c r="AA50" s="35">
        <f t="shared" si="24"/>
        <v>358.79373298671237</v>
      </c>
      <c r="AB50" s="35">
        <f t="shared" si="24"/>
        <v>358.79373298671237</v>
      </c>
      <c r="AC50" s="35">
        <f t="shared" si="24"/>
        <v>358.79373298671237</v>
      </c>
      <c r="AD50" s="35">
        <f t="shared" si="24"/>
        <v>358.79373298671237</v>
      </c>
      <c r="AE50" s="35">
        <f t="shared" si="24"/>
        <v>358.79373298671237</v>
      </c>
      <c r="AF50" s="35">
        <f t="shared" si="24"/>
        <v>358.79373298671237</v>
      </c>
    </row>
    <row r="51" spans="1:33" x14ac:dyDescent="0.2">
      <c r="A51" s="36" t="s">
        <v>35</v>
      </c>
      <c r="F51" s="37">
        <f>SUM(F52:F59)</f>
        <v>5893.6062670132869</v>
      </c>
      <c r="G51" s="37">
        <f t="shared" ref="G51:AG51" si="25">SUM(G52:G59)</f>
        <v>11516.822895045061</v>
      </c>
      <c r="H51" s="37">
        <f t="shared" si="25"/>
        <v>16865.594039510597</v>
      </c>
      <c r="I51" s="37">
        <f t="shared" si="25"/>
        <v>21935.803018156403</v>
      </c>
      <c r="J51" s="37">
        <f t="shared" si="25"/>
        <v>26723.271398495184</v>
      </c>
      <c r="K51" s="37">
        <f t="shared" si="25"/>
        <v>31223.758071552336</v>
      </c>
      <c r="L51" s="37">
        <f t="shared" si="25"/>
        <v>35432.958311718627</v>
      </c>
      <c r="M51" s="37">
        <f t="shared" si="25"/>
        <v>39346.502822500712</v>
      </c>
      <c r="N51" s="37">
        <f t="shared" si="25"/>
        <v>37066.350500944522</v>
      </c>
      <c r="O51" s="37">
        <f t="shared" si="25"/>
        <v>34751.995894564985</v>
      </c>
      <c r="P51" s="37">
        <f t="shared" si="25"/>
        <v>32402.92596908976</v>
      </c>
      <c r="Q51" s="37">
        <f t="shared" si="25"/>
        <v>30018.619994732406</v>
      </c>
      <c r="R51" s="37">
        <f t="shared" si="25"/>
        <v>27598.549430759689</v>
      </c>
      <c r="S51" s="37">
        <f t="shared" si="25"/>
        <v>25142.177808327386</v>
      </c>
      <c r="T51" s="37">
        <f t="shared" si="25"/>
        <v>22648.960611558599</v>
      </c>
      <c r="U51" s="37">
        <f t="shared" si="25"/>
        <v>20118.345156838281</v>
      </c>
      <c r="V51" s="37">
        <f t="shared" si="25"/>
        <v>17549.770470297157</v>
      </c>
      <c r="W51" s="37">
        <f t="shared" si="25"/>
        <v>14942.667163457914</v>
      </c>
      <c r="X51" s="37">
        <f t="shared" si="25"/>
        <v>12296.457307016084</v>
      </c>
      <c r="Y51" s="37">
        <f t="shared" si="25"/>
        <v>9610.5543027276271</v>
      </c>
      <c r="Z51" s="37">
        <f t="shared" si="25"/>
        <v>7243.1564863615586</v>
      </c>
      <c r="AA51" s="37">
        <f t="shared" si="25"/>
        <v>5199.0414357367117</v>
      </c>
      <c r="AB51" s="37">
        <f t="shared" si="25"/>
        <v>3483.0583923392046</v>
      </c>
      <c r="AC51" s="37">
        <f t="shared" si="25"/>
        <v>2100.1293362774472</v>
      </c>
      <c r="AD51" s="37">
        <f t="shared" si="25"/>
        <v>1055.2500773614759</v>
      </c>
      <c r="AE51" s="37">
        <f t="shared" si="25"/>
        <v>353.4913625484773</v>
      </c>
      <c r="AF51" s="37">
        <f t="shared" si="25"/>
        <v>-3.9328540424321545E-12</v>
      </c>
      <c r="AG51" s="37">
        <f t="shared" si="25"/>
        <v>0</v>
      </c>
    </row>
    <row r="52" spans="1:33" outlineLevel="1" x14ac:dyDescent="0.2">
      <c r="A52" s="34">
        <v>2016</v>
      </c>
      <c r="F52" s="35">
        <f>E31*$B$9-F43+F61</f>
        <v>5893.6062670132869</v>
      </c>
      <c r="G52" s="35">
        <f>F52-G43+$B$15*F52</f>
        <v>5623.2166280317733</v>
      </c>
      <c r="H52" s="35">
        <f>G52-H43+$B$15*G52</f>
        <v>5348.771144465537</v>
      </c>
      <c r="I52" s="35">
        <f t="shared" ref="I52:Y59" si="26">H52-I43+$B$15*H52</f>
        <v>5070.2089786458073</v>
      </c>
      <c r="J52" s="35">
        <f t="shared" si="26"/>
        <v>4787.4683803387816</v>
      </c>
      <c r="K52" s="35">
        <f t="shared" si="26"/>
        <v>4500.4866730571503</v>
      </c>
      <c r="L52" s="35">
        <f t="shared" si="26"/>
        <v>4209.2002401662949</v>
      </c>
      <c r="M52" s="35">
        <f t="shared" si="26"/>
        <v>3913.5445107820769</v>
      </c>
      <c r="N52" s="35">
        <f t="shared" si="26"/>
        <v>3613.4539454570959</v>
      </c>
      <c r="O52" s="35">
        <f t="shared" si="26"/>
        <v>3308.8620216522399</v>
      </c>
      <c r="P52" s="35">
        <f t="shared" si="26"/>
        <v>2999.7012189903112</v>
      </c>
      <c r="Q52" s="35">
        <f t="shared" si="26"/>
        <v>2685.9030042884538</v>
      </c>
      <c r="R52" s="35">
        <f t="shared" si="26"/>
        <v>2367.3978163660681</v>
      </c>
      <c r="S52" s="35">
        <f t="shared" si="26"/>
        <v>2044.1150506248468</v>
      </c>
      <c r="T52" s="35">
        <f t="shared" si="26"/>
        <v>1715.9830433975073</v>
      </c>
      <c r="U52" s="35">
        <f t="shared" si="26"/>
        <v>1382.9290560617574</v>
      </c>
      <c r="V52" s="35">
        <f t="shared" si="26"/>
        <v>1044.8792589159714</v>
      </c>
      <c r="W52" s="35">
        <f t="shared" si="26"/>
        <v>701.75871481299862</v>
      </c>
      <c r="X52" s="35">
        <f t="shared" si="26"/>
        <v>353.49136254848122</v>
      </c>
      <c r="Y52" s="35">
        <f t="shared" si="26"/>
        <v>-3.9328540424321545E-12</v>
      </c>
    </row>
    <row r="53" spans="1:33" outlineLevel="1" x14ac:dyDescent="0.2">
      <c r="A53" s="34">
        <v>2017</v>
      </c>
      <c r="F53" s="35"/>
      <c r="G53" s="35">
        <f>F31*$B$9-G44+$G62</f>
        <v>5893.6062670132869</v>
      </c>
      <c r="H53" s="35">
        <f t="shared" ref="H53:W59" si="27">G53-H44+$B$15*G53</f>
        <v>5623.2166280317733</v>
      </c>
      <c r="I53" s="35">
        <f t="shared" si="27"/>
        <v>5348.771144465537</v>
      </c>
      <c r="J53" s="35">
        <f t="shared" si="27"/>
        <v>5070.2089786458073</v>
      </c>
      <c r="K53" s="35">
        <f t="shared" si="27"/>
        <v>4787.4683803387816</v>
      </c>
      <c r="L53" s="35">
        <f t="shared" si="27"/>
        <v>4500.4866730571503</v>
      </c>
      <c r="M53" s="35">
        <f t="shared" si="27"/>
        <v>4209.2002401662949</v>
      </c>
      <c r="N53" s="35">
        <f t="shared" si="27"/>
        <v>3913.5445107820769</v>
      </c>
      <c r="O53" s="35">
        <f t="shared" si="27"/>
        <v>3613.4539454570959</v>
      </c>
      <c r="P53" s="35">
        <f t="shared" si="27"/>
        <v>3308.8620216522399</v>
      </c>
      <c r="Q53" s="35">
        <f t="shared" si="27"/>
        <v>2999.7012189903112</v>
      </c>
      <c r="R53" s="35">
        <f t="shared" si="27"/>
        <v>2685.9030042884538</v>
      </c>
      <c r="S53" s="35">
        <f t="shared" si="27"/>
        <v>2367.3978163660681</v>
      </c>
      <c r="T53" s="35">
        <f t="shared" si="27"/>
        <v>2044.1150506248468</v>
      </c>
      <c r="U53" s="35">
        <f t="shared" si="27"/>
        <v>1715.9830433975073</v>
      </c>
      <c r="V53" s="35">
        <f t="shared" si="26"/>
        <v>1382.9290560617574</v>
      </c>
      <c r="W53" s="35">
        <f t="shared" si="26"/>
        <v>1044.8792589159714</v>
      </c>
      <c r="X53" s="35">
        <f t="shared" si="26"/>
        <v>701.75871481299862</v>
      </c>
      <c r="Y53" s="35">
        <f t="shared" si="26"/>
        <v>353.49136254848122</v>
      </c>
      <c r="Z53" s="35">
        <f t="shared" ref="Z53:AF59" si="28">Y53-Z44+$B$15*Y53</f>
        <v>-3.9328540424321545E-12</v>
      </c>
    </row>
    <row r="54" spans="1:33" outlineLevel="1" x14ac:dyDescent="0.2">
      <c r="A54" s="34">
        <v>2018</v>
      </c>
      <c r="F54" s="35"/>
      <c r="H54" s="35">
        <f>G$31*$B$9-H45+H63</f>
        <v>5893.6062670132869</v>
      </c>
      <c r="I54" s="35">
        <f t="shared" si="27"/>
        <v>5623.2166280317733</v>
      </c>
      <c r="J54" s="35">
        <f t="shared" si="27"/>
        <v>5348.771144465537</v>
      </c>
      <c r="K54" s="35">
        <f t="shared" si="27"/>
        <v>5070.2089786458073</v>
      </c>
      <c r="L54" s="35">
        <f t="shared" si="27"/>
        <v>4787.4683803387816</v>
      </c>
      <c r="M54" s="35">
        <f t="shared" si="27"/>
        <v>4500.4866730571503</v>
      </c>
      <c r="N54" s="35">
        <f t="shared" si="27"/>
        <v>4209.2002401662949</v>
      </c>
      <c r="O54" s="35">
        <f t="shared" si="27"/>
        <v>3913.5445107820769</v>
      </c>
      <c r="P54" s="35">
        <f t="shared" si="27"/>
        <v>3613.4539454570959</v>
      </c>
      <c r="Q54" s="35">
        <f t="shared" si="27"/>
        <v>3308.8620216522399</v>
      </c>
      <c r="R54" s="35">
        <f t="shared" si="27"/>
        <v>2999.7012189903112</v>
      </c>
      <c r="S54" s="35">
        <f t="shared" si="27"/>
        <v>2685.9030042884538</v>
      </c>
      <c r="T54" s="35">
        <f t="shared" si="27"/>
        <v>2367.3978163660681</v>
      </c>
      <c r="U54" s="35">
        <f t="shared" si="27"/>
        <v>2044.1150506248468</v>
      </c>
      <c r="V54" s="35">
        <f t="shared" si="27"/>
        <v>1715.9830433975073</v>
      </c>
      <c r="W54" s="35">
        <f t="shared" si="26"/>
        <v>1382.9290560617574</v>
      </c>
      <c r="X54" s="35">
        <f t="shared" si="26"/>
        <v>1044.8792589159714</v>
      </c>
      <c r="Y54" s="35">
        <f t="shared" si="26"/>
        <v>701.75871481299862</v>
      </c>
      <c r="Z54" s="35">
        <f t="shared" si="28"/>
        <v>353.49136254848122</v>
      </c>
      <c r="AA54" s="35">
        <f t="shared" si="28"/>
        <v>-3.9328540424321545E-12</v>
      </c>
    </row>
    <row r="55" spans="1:33" outlineLevel="1" x14ac:dyDescent="0.2">
      <c r="A55" s="34">
        <v>2019</v>
      </c>
      <c r="F55" s="35"/>
      <c r="I55" s="35">
        <f>H$31*$B$9-I46+I64</f>
        <v>5893.6062670132869</v>
      </c>
      <c r="J55" s="35">
        <f t="shared" si="27"/>
        <v>5623.2166280317733</v>
      </c>
      <c r="K55" s="35">
        <f t="shared" si="27"/>
        <v>5348.771144465537</v>
      </c>
      <c r="L55" s="35">
        <f t="shared" si="27"/>
        <v>5070.2089786458073</v>
      </c>
      <c r="M55" s="35">
        <f t="shared" si="27"/>
        <v>4787.4683803387816</v>
      </c>
      <c r="N55" s="35">
        <f t="shared" si="27"/>
        <v>4500.4866730571503</v>
      </c>
      <c r="O55" s="35">
        <f t="shared" si="27"/>
        <v>4209.2002401662949</v>
      </c>
      <c r="P55" s="35">
        <f t="shared" si="27"/>
        <v>3913.5445107820769</v>
      </c>
      <c r="Q55" s="35">
        <f t="shared" si="27"/>
        <v>3613.4539454570959</v>
      </c>
      <c r="R55" s="35">
        <f t="shared" si="27"/>
        <v>3308.8620216522399</v>
      </c>
      <c r="S55" s="35">
        <f t="shared" si="27"/>
        <v>2999.7012189903112</v>
      </c>
      <c r="T55" s="35">
        <f t="shared" si="27"/>
        <v>2685.9030042884538</v>
      </c>
      <c r="U55" s="35">
        <f t="shared" si="27"/>
        <v>2367.3978163660681</v>
      </c>
      <c r="V55" s="35">
        <f t="shared" si="27"/>
        <v>2044.1150506248468</v>
      </c>
      <c r="W55" s="35">
        <f t="shared" si="27"/>
        <v>1715.9830433975073</v>
      </c>
      <c r="X55" s="35">
        <f t="shared" si="26"/>
        <v>1382.9290560617574</v>
      </c>
      <c r="Y55" s="35">
        <f t="shared" si="26"/>
        <v>1044.8792589159714</v>
      </c>
      <c r="Z55" s="35">
        <f t="shared" si="28"/>
        <v>701.75871481299862</v>
      </c>
      <c r="AA55" s="35">
        <f t="shared" si="28"/>
        <v>353.49136254848122</v>
      </c>
      <c r="AB55" s="35">
        <f t="shared" si="28"/>
        <v>-3.9328540424321545E-12</v>
      </c>
    </row>
    <row r="56" spans="1:33" outlineLevel="1" x14ac:dyDescent="0.2">
      <c r="A56" s="34">
        <v>2020</v>
      </c>
      <c r="F56" s="35"/>
      <c r="J56" s="35">
        <f>I$31*$B$9-J47+J65</f>
        <v>5893.6062670132869</v>
      </c>
      <c r="K56" s="35">
        <f t="shared" si="27"/>
        <v>5623.2166280317733</v>
      </c>
      <c r="L56" s="35">
        <f t="shared" si="27"/>
        <v>5348.771144465537</v>
      </c>
      <c r="M56" s="35">
        <f t="shared" si="27"/>
        <v>5070.2089786458073</v>
      </c>
      <c r="N56" s="35">
        <f t="shared" si="27"/>
        <v>4787.4683803387816</v>
      </c>
      <c r="O56" s="35">
        <f t="shared" si="27"/>
        <v>4500.4866730571503</v>
      </c>
      <c r="P56" s="35">
        <f t="shared" si="27"/>
        <v>4209.2002401662949</v>
      </c>
      <c r="Q56" s="35">
        <f t="shared" si="27"/>
        <v>3913.5445107820769</v>
      </c>
      <c r="R56" s="35">
        <f t="shared" si="27"/>
        <v>3613.4539454570959</v>
      </c>
      <c r="S56" s="35">
        <f t="shared" si="27"/>
        <v>3308.8620216522399</v>
      </c>
      <c r="T56" s="35">
        <f t="shared" si="27"/>
        <v>2999.7012189903112</v>
      </c>
      <c r="U56" s="35">
        <f t="shared" si="27"/>
        <v>2685.9030042884538</v>
      </c>
      <c r="V56" s="35">
        <f t="shared" si="27"/>
        <v>2367.3978163660681</v>
      </c>
      <c r="W56" s="35">
        <f t="shared" si="27"/>
        <v>2044.1150506248468</v>
      </c>
      <c r="X56" s="35">
        <f t="shared" si="26"/>
        <v>1715.9830433975073</v>
      </c>
      <c r="Y56" s="35">
        <f t="shared" si="26"/>
        <v>1382.9290560617574</v>
      </c>
      <c r="Z56" s="35">
        <f t="shared" si="28"/>
        <v>1044.8792589159714</v>
      </c>
      <c r="AA56" s="35">
        <f t="shared" si="28"/>
        <v>701.75871481299862</v>
      </c>
      <c r="AB56" s="35">
        <f t="shared" si="28"/>
        <v>353.49136254848122</v>
      </c>
      <c r="AC56" s="35">
        <f t="shared" si="28"/>
        <v>-3.9328540424321545E-12</v>
      </c>
    </row>
    <row r="57" spans="1:33" outlineLevel="1" x14ac:dyDescent="0.2">
      <c r="A57" s="34">
        <v>2021</v>
      </c>
      <c r="F57" s="35"/>
      <c r="K57" s="35">
        <f>J$31-K48+J$31*$B$15</f>
        <v>5893.6062670132869</v>
      </c>
      <c r="L57" s="35">
        <f t="shared" si="27"/>
        <v>5623.2166280317733</v>
      </c>
      <c r="M57" s="35">
        <f t="shared" si="27"/>
        <v>5348.771144465537</v>
      </c>
      <c r="N57" s="35">
        <f t="shared" si="27"/>
        <v>5070.2089786458073</v>
      </c>
      <c r="O57" s="35">
        <f t="shared" si="27"/>
        <v>4787.4683803387816</v>
      </c>
      <c r="P57" s="35">
        <f t="shared" si="27"/>
        <v>4500.4866730571503</v>
      </c>
      <c r="Q57" s="35">
        <f t="shared" si="27"/>
        <v>4209.2002401662949</v>
      </c>
      <c r="R57" s="35">
        <f t="shared" si="27"/>
        <v>3913.5445107820769</v>
      </c>
      <c r="S57" s="35">
        <f t="shared" si="27"/>
        <v>3613.4539454570959</v>
      </c>
      <c r="T57" s="35">
        <f t="shared" si="27"/>
        <v>3308.8620216522399</v>
      </c>
      <c r="U57" s="35">
        <f t="shared" si="27"/>
        <v>2999.7012189903112</v>
      </c>
      <c r="V57" s="35">
        <f t="shared" si="27"/>
        <v>2685.9030042884538</v>
      </c>
      <c r="W57" s="35">
        <f t="shared" si="27"/>
        <v>2367.3978163660681</v>
      </c>
      <c r="X57" s="35">
        <f t="shared" si="26"/>
        <v>2044.1150506248468</v>
      </c>
      <c r="Y57" s="35">
        <f t="shared" si="26"/>
        <v>1715.9830433975073</v>
      </c>
      <c r="Z57" s="35">
        <f t="shared" si="28"/>
        <v>1382.9290560617574</v>
      </c>
      <c r="AA57" s="35">
        <f t="shared" si="28"/>
        <v>1044.8792589159714</v>
      </c>
      <c r="AB57" s="35">
        <f t="shared" si="28"/>
        <v>701.75871481299862</v>
      </c>
      <c r="AC57" s="35">
        <f t="shared" si="28"/>
        <v>353.49136254848122</v>
      </c>
      <c r="AD57" s="35">
        <f t="shared" si="28"/>
        <v>-3.9328540424321545E-12</v>
      </c>
    </row>
    <row r="58" spans="1:33" outlineLevel="1" x14ac:dyDescent="0.2">
      <c r="A58" s="34">
        <v>2022</v>
      </c>
      <c r="F58" s="35"/>
      <c r="L58" s="35">
        <f>K$31-L49+K$31*$B$15</f>
        <v>5893.6062670132869</v>
      </c>
      <c r="M58" s="35">
        <f t="shared" si="27"/>
        <v>5623.2166280317733</v>
      </c>
      <c r="N58" s="35">
        <f t="shared" si="27"/>
        <v>5348.771144465537</v>
      </c>
      <c r="O58" s="35">
        <f t="shared" si="27"/>
        <v>5070.2089786458073</v>
      </c>
      <c r="P58" s="35">
        <f t="shared" si="27"/>
        <v>4787.4683803387816</v>
      </c>
      <c r="Q58" s="35">
        <f t="shared" si="27"/>
        <v>4500.4866730571503</v>
      </c>
      <c r="R58" s="35">
        <f t="shared" si="27"/>
        <v>4209.2002401662949</v>
      </c>
      <c r="S58" s="35">
        <f t="shared" si="27"/>
        <v>3913.5445107820769</v>
      </c>
      <c r="T58" s="35">
        <f t="shared" si="27"/>
        <v>3613.4539454570959</v>
      </c>
      <c r="U58" s="35">
        <f t="shared" si="27"/>
        <v>3308.8620216522399</v>
      </c>
      <c r="V58" s="35">
        <f t="shared" si="27"/>
        <v>2999.7012189903112</v>
      </c>
      <c r="W58" s="35">
        <f t="shared" si="27"/>
        <v>2685.9030042884538</v>
      </c>
      <c r="X58" s="35">
        <f t="shared" si="26"/>
        <v>2367.3978163660681</v>
      </c>
      <c r="Y58" s="35">
        <f t="shared" si="26"/>
        <v>2044.1150506248468</v>
      </c>
      <c r="Z58" s="35">
        <f t="shared" si="28"/>
        <v>1715.9830433975073</v>
      </c>
      <c r="AA58" s="35">
        <f t="shared" si="28"/>
        <v>1382.9290560617574</v>
      </c>
      <c r="AB58" s="35">
        <f t="shared" si="28"/>
        <v>1044.8792589159714</v>
      </c>
      <c r="AC58" s="35">
        <f t="shared" si="28"/>
        <v>701.75871481299862</v>
      </c>
      <c r="AD58" s="35">
        <f t="shared" si="28"/>
        <v>353.49136254848122</v>
      </c>
      <c r="AE58" s="35">
        <f t="shared" si="28"/>
        <v>-3.9328540424321545E-12</v>
      </c>
    </row>
    <row r="59" spans="1:33" outlineLevel="1" x14ac:dyDescent="0.2">
      <c r="A59" s="34">
        <v>2023</v>
      </c>
      <c r="F59" s="35"/>
      <c r="L59" s="35"/>
      <c r="M59" s="35">
        <f>L$31-M50+L$31*$B$15</f>
        <v>5893.6062670132869</v>
      </c>
      <c r="N59" s="35">
        <f t="shared" si="27"/>
        <v>5623.2166280317733</v>
      </c>
      <c r="O59" s="35">
        <f t="shared" si="27"/>
        <v>5348.771144465537</v>
      </c>
      <c r="P59" s="35">
        <f t="shared" si="27"/>
        <v>5070.2089786458073</v>
      </c>
      <c r="Q59" s="35">
        <f t="shared" si="27"/>
        <v>4787.4683803387816</v>
      </c>
      <c r="R59" s="35">
        <f t="shared" si="27"/>
        <v>4500.4866730571503</v>
      </c>
      <c r="S59" s="35">
        <f t="shared" si="27"/>
        <v>4209.2002401662949</v>
      </c>
      <c r="T59" s="35">
        <f t="shared" si="27"/>
        <v>3913.5445107820769</v>
      </c>
      <c r="U59" s="35">
        <f t="shared" si="27"/>
        <v>3613.4539454570959</v>
      </c>
      <c r="V59" s="35">
        <f t="shared" si="27"/>
        <v>3308.8620216522399</v>
      </c>
      <c r="W59" s="35">
        <f t="shared" si="27"/>
        <v>2999.7012189903112</v>
      </c>
      <c r="X59" s="35">
        <f t="shared" si="26"/>
        <v>2685.9030042884538</v>
      </c>
      <c r="Y59" s="35">
        <f t="shared" si="26"/>
        <v>2367.3978163660681</v>
      </c>
      <c r="Z59" s="35">
        <f t="shared" si="28"/>
        <v>2044.1150506248468</v>
      </c>
      <c r="AA59" s="35">
        <f t="shared" si="28"/>
        <v>1715.9830433975073</v>
      </c>
      <c r="AB59" s="35">
        <f t="shared" si="28"/>
        <v>1382.9290560617574</v>
      </c>
      <c r="AC59" s="35">
        <f t="shared" si="28"/>
        <v>1044.8792589159714</v>
      </c>
      <c r="AD59" s="35">
        <f t="shared" si="28"/>
        <v>701.75871481299862</v>
      </c>
      <c r="AE59" s="35">
        <f t="shared" si="28"/>
        <v>353.49136254848122</v>
      </c>
      <c r="AF59" s="35">
        <f t="shared" si="28"/>
        <v>-3.9328540424321545E-12</v>
      </c>
    </row>
    <row r="60" spans="1:33" s="33" customFormat="1" x14ac:dyDescent="0.2">
      <c r="A60" s="36" t="s">
        <v>46</v>
      </c>
      <c r="F60" s="37">
        <f>SUM(F61:F68)</f>
        <v>92.399999999999991</v>
      </c>
      <c r="G60" s="37">
        <f t="shared" ref="G60:AG60" si="29">SUM(G61:G68)</f>
        <v>180.80409400519929</v>
      </c>
      <c r="H60" s="37">
        <f t="shared" si="29"/>
        <v>265.15234342567589</v>
      </c>
      <c r="I60" s="37">
        <f t="shared" si="29"/>
        <v>345.38391059265894</v>
      </c>
      <c r="J60" s="37">
        <f t="shared" si="29"/>
        <v>421.43704527234598</v>
      </c>
      <c r="K60" s="37">
        <f t="shared" si="29"/>
        <v>493.24907097742772</v>
      </c>
      <c r="L60" s="37">
        <f t="shared" si="29"/>
        <v>560.75637107328498</v>
      </c>
      <c r="M60" s="37">
        <f t="shared" si="29"/>
        <v>623.89437467577943</v>
      </c>
      <c r="N60" s="37">
        <f t="shared" si="29"/>
        <v>590.19754233751064</v>
      </c>
      <c r="O60" s="37">
        <f t="shared" si="29"/>
        <v>555.99525751416775</v>
      </c>
      <c r="P60" s="37">
        <f t="shared" si="29"/>
        <v>521.27993841847479</v>
      </c>
      <c r="Q60" s="37">
        <f t="shared" si="29"/>
        <v>486.0438895363464</v>
      </c>
      <c r="R60" s="37">
        <f t="shared" si="29"/>
        <v>450.27929992098609</v>
      </c>
      <c r="S60" s="37">
        <f t="shared" si="29"/>
        <v>413.97824146139538</v>
      </c>
      <c r="T60" s="37">
        <f t="shared" si="29"/>
        <v>377.13266712491077</v>
      </c>
      <c r="U60" s="37">
        <f t="shared" si="29"/>
        <v>339.73440917337899</v>
      </c>
      <c r="V60" s="37">
        <f t="shared" si="29"/>
        <v>301.77517735257425</v>
      </c>
      <c r="W60" s="37">
        <f t="shared" si="29"/>
        <v>263.24655705445736</v>
      </c>
      <c r="X60" s="37">
        <f t="shared" si="29"/>
        <v>224.14000745186871</v>
      </c>
      <c r="Y60" s="37">
        <f t="shared" si="29"/>
        <v>184.44685960524126</v>
      </c>
      <c r="Z60" s="37">
        <f t="shared" si="29"/>
        <v>144.1583145409144</v>
      </c>
      <c r="AA60" s="37">
        <f t="shared" si="29"/>
        <v>108.64734729542337</v>
      </c>
      <c r="AB60" s="37">
        <f t="shared" si="29"/>
        <v>77.985621536050672</v>
      </c>
      <c r="AC60" s="37">
        <f t="shared" si="29"/>
        <v>52.245875885088068</v>
      </c>
      <c r="AD60" s="37">
        <f t="shared" si="29"/>
        <v>31.501940044161707</v>
      </c>
      <c r="AE60" s="37">
        <f t="shared" si="29"/>
        <v>15.828751160422138</v>
      </c>
      <c r="AF60" s="37">
        <f t="shared" si="29"/>
        <v>5.3023704382271593</v>
      </c>
      <c r="AG60" s="37">
        <f t="shared" si="29"/>
        <v>-5.8992810636482319E-14</v>
      </c>
    </row>
    <row r="61" spans="1:33" outlineLevel="1" x14ac:dyDescent="0.2">
      <c r="A61" s="34">
        <v>2016</v>
      </c>
      <c r="F61" s="35">
        <f>E31*$B$15*$B$9</f>
        <v>92.399999999999991</v>
      </c>
      <c r="G61" s="35">
        <f>$B$15*F52</f>
        <v>88.404094005199298</v>
      </c>
      <c r="H61" s="35">
        <f>$B$15*G52</f>
        <v>84.348249420476591</v>
      </c>
      <c r="I61" s="35">
        <f t="shared" ref="I61:Z68" si="30">$B$15*H52</f>
        <v>80.231567166983055</v>
      </c>
      <c r="J61" s="35">
        <f t="shared" si="30"/>
        <v>76.053134679687105</v>
      </c>
      <c r="K61" s="35">
        <f t="shared" si="30"/>
        <v>71.812025705081723</v>
      </c>
      <c r="L61" s="35">
        <f t="shared" si="30"/>
        <v>67.507300095857246</v>
      </c>
      <c r="M61" s="35">
        <f t="shared" si="30"/>
        <v>63.138003602494422</v>
      </c>
      <c r="N61" s="35">
        <f t="shared" si="30"/>
        <v>58.70316766173115</v>
      </c>
      <c r="O61" s="35">
        <f t="shared" si="30"/>
        <v>54.201809181856433</v>
      </c>
      <c r="P61" s="35">
        <f t="shared" si="30"/>
        <v>49.632930324783601</v>
      </c>
      <c r="Q61" s="35">
        <f t="shared" si="30"/>
        <v>44.995518284854668</v>
      </c>
      <c r="R61" s="35">
        <f t="shared" si="30"/>
        <v>40.288545064326804</v>
      </c>
      <c r="S61" s="35">
        <f t="shared" si="30"/>
        <v>35.510967245491024</v>
      </c>
      <c r="T61" s="35">
        <f t="shared" si="30"/>
        <v>30.6617257593727</v>
      </c>
      <c r="U61" s="35">
        <f t="shared" si="30"/>
        <v>25.739745650962607</v>
      </c>
      <c r="V61" s="35">
        <f t="shared" si="30"/>
        <v>20.743935840926358</v>
      </c>
      <c r="W61" s="35">
        <f t="shared" si="30"/>
        <v>15.67318888373957</v>
      </c>
      <c r="X61" s="35">
        <f t="shared" si="30"/>
        <v>10.526380722194979</v>
      </c>
      <c r="Y61" s="35">
        <f t="shared" si="30"/>
        <v>5.3023704382272179</v>
      </c>
      <c r="Z61" s="35">
        <f t="shared" si="30"/>
        <v>-5.8992810636482319E-14</v>
      </c>
      <c r="AA61" s="35"/>
    </row>
    <row r="62" spans="1:33" outlineLevel="1" x14ac:dyDescent="0.2">
      <c r="A62" s="34">
        <v>2017</v>
      </c>
      <c r="F62" s="35"/>
      <c r="G62" s="35">
        <f>F$31*$B$15*$B$9</f>
        <v>92.399999999999991</v>
      </c>
      <c r="H62" s="35">
        <f>$B$15*G53</f>
        <v>88.404094005199298</v>
      </c>
      <c r="I62" s="35">
        <f t="shared" si="30"/>
        <v>84.348249420476591</v>
      </c>
      <c r="J62" s="35">
        <f t="shared" si="30"/>
        <v>80.231567166983055</v>
      </c>
      <c r="K62" s="35">
        <f t="shared" si="30"/>
        <v>76.053134679687105</v>
      </c>
      <c r="L62" s="35">
        <f t="shared" si="30"/>
        <v>71.812025705081723</v>
      </c>
      <c r="M62" s="35">
        <f t="shared" si="30"/>
        <v>67.507300095857246</v>
      </c>
      <c r="N62" s="35">
        <f t="shared" si="30"/>
        <v>63.138003602494422</v>
      </c>
      <c r="O62" s="35">
        <f t="shared" si="30"/>
        <v>58.70316766173115</v>
      </c>
      <c r="P62" s="35">
        <f t="shared" si="30"/>
        <v>54.201809181856433</v>
      </c>
      <c r="Q62" s="35">
        <f t="shared" si="30"/>
        <v>49.632930324783601</v>
      </c>
      <c r="R62" s="35">
        <f t="shared" si="30"/>
        <v>44.995518284854668</v>
      </c>
      <c r="S62" s="35">
        <f t="shared" si="30"/>
        <v>40.288545064326804</v>
      </c>
      <c r="T62" s="35">
        <f t="shared" si="30"/>
        <v>35.510967245491024</v>
      </c>
      <c r="U62" s="35">
        <f t="shared" si="30"/>
        <v>30.6617257593727</v>
      </c>
      <c r="V62" s="35">
        <f t="shared" si="30"/>
        <v>25.739745650962607</v>
      </c>
      <c r="W62" s="35">
        <f t="shared" si="30"/>
        <v>20.743935840926358</v>
      </c>
      <c r="X62" s="35">
        <f t="shared" si="30"/>
        <v>15.67318888373957</v>
      </c>
      <c r="Y62" s="35">
        <f t="shared" si="30"/>
        <v>10.526380722194979</v>
      </c>
      <c r="Z62" s="35">
        <f t="shared" si="30"/>
        <v>5.3023704382272179</v>
      </c>
      <c r="AA62" s="35">
        <f t="shared" ref="AA62:AG68" si="31">$B$15*Z53</f>
        <v>-5.8992810636482319E-14</v>
      </c>
    </row>
    <row r="63" spans="1:33" outlineLevel="1" x14ac:dyDescent="0.2">
      <c r="A63" s="34">
        <v>2018</v>
      </c>
      <c r="F63" s="35"/>
      <c r="H63" s="35">
        <f>G$31*$B$15*$B$9</f>
        <v>92.399999999999991</v>
      </c>
      <c r="I63" s="35">
        <f>$B$15*H54</f>
        <v>88.404094005199298</v>
      </c>
      <c r="J63" s="35">
        <f t="shared" si="30"/>
        <v>84.348249420476591</v>
      </c>
      <c r="K63" s="35">
        <f t="shared" si="30"/>
        <v>80.231567166983055</v>
      </c>
      <c r="L63" s="35">
        <f t="shared" si="30"/>
        <v>76.053134679687105</v>
      </c>
      <c r="M63" s="35">
        <f t="shared" si="30"/>
        <v>71.812025705081723</v>
      </c>
      <c r="N63" s="35">
        <f t="shared" si="30"/>
        <v>67.507300095857246</v>
      </c>
      <c r="O63" s="35">
        <f t="shared" si="30"/>
        <v>63.138003602494422</v>
      </c>
      <c r="P63" s="35">
        <f t="shared" si="30"/>
        <v>58.70316766173115</v>
      </c>
      <c r="Q63" s="35">
        <f t="shared" si="30"/>
        <v>54.201809181856433</v>
      </c>
      <c r="R63" s="35">
        <f t="shared" si="30"/>
        <v>49.632930324783601</v>
      </c>
      <c r="S63" s="35">
        <f t="shared" si="30"/>
        <v>44.995518284854668</v>
      </c>
      <c r="T63" s="35">
        <f t="shared" si="30"/>
        <v>40.288545064326804</v>
      </c>
      <c r="U63" s="35">
        <f t="shared" si="30"/>
        <v>35.510967245491024</v>
      </c>
      <c r="V63" s="35">
        <f t="shared" si="30"/>
        <v>30.6617257593727</v>
      </c>
      <c r="W63" s="35">
        <f t="shared" si="30"/>
        <v>25.739745650962607</v>
      </c>
      <c r="X63" s="35">
        <f t="shared" si="30"/>
        <v>20.743935840926358</v>
      </c>
      <c r="Y63" s="35">
        <f t="shared" si="30"/>
        <v>15.67318888373957</v>
      </c>
      <c r="Z63" s="35">
        <f t="shared" si="30"/>
        <v>10.526380722194979</v>
      </c>
      <c r="AA63" s="35">
        <f t="shared" si="31"/>
        <v>5.3023704382272179</v>
      </c>
      <c r="AB63" s="35">
        <f t="shared" si="31"/>
        <v>-5.8992810636482319E-14</v>
      </c>
    </row>
    <row r="64" spans="1:33" outlineLevel="1" x14ac:dyDescent="0.2">
      <c r="A64" s="34">
        <v>2019</v>
      </c>
      <c r="F64" s="35"/>
      <c r="I64" s="35">
        <f>H$31*$B$15*$B$9</f>
        <v>92.399999999999991</v>
      </c>
      <c r="J64" s="35">
        <f>$B$15*I55</f>
        <v>88.404094005199298</v>
      </c>
      <c r="K64" s="35">
        <f t="shared" si="30"/>
        <v>84.348249420476591</v>
      </c>
      <c r="L64" s="35">
        <f t="shared" si="30"/>
        <v>80.231567166983055</v>
      </c>
      <c r="M64" s="35">
        <f t="shared" si="30"/>
        <v>76.053134679687105</v>
      </c>
      <c r="N64" s="35">
        <f t="shared" si="30"/>
        <v>71.812025705081723</v>
      </c>
      <c r="O64" s="35">
        <f t="shared" si="30"/>
        <v>67.507300095857246</v>
      </c>
      <c r="P64" s="35">
        <f t="shared" si="30"/>
        <v>63.138003602494422</v>
      </c>
      <c r="Q64" s="35">
        <f t="shared" si="30"/>
        <v>58.70316766173115</v>
      </c>
      <c r="R64" s="35">
        <f t="shared" si="30"/>
        <v>54.201809181856433</v>
      </c>
      <c r="S64" s="35">
        <f t="shared" si="30"/>
        <v>49.632930324783601</v>
      </c>
      <c r="T64" s="35">
        <f t="shared" si="30"/>
        <v>44.995518284854668</v>
      </c>
      <c r="U64" s="35">
        <f t="shared" si="30"/>
        <v>40.288545064326804</v>
      </c>
      <c r="V64" s="35">
        <f t="shared" si="30"/>
        <v>35.510967245491024</v>
      </c>
      <c r="W64" s="35">
        <f t="shared" si="30"/>
        <v>30.6617257593727</v>
      </c>
      <c r="X64" s="35">
        <f t="shared" si="30"/>
        <v>25.739745650962607</v>
      </c>
      <c r="Y64" s="35">
        <f t="shared" si="30"/>
        <v>20.743935840926358</v>
      </c>
      <c r="Z64" s="35">
        <f t="shared" si="30"/>
        <v>15.67318888373957</v>
      </c>
      <c r="AA64" s="35">
        <f t="shared" si="31"/>
        <v>10.526380722194979</v>
      </c>
      <c r="AB64" s="35">
        <f t="shared" si="31"/>
        <v>5.3023704382272179</v>
      </c>
      <c r="AC64" s="35">
        <f t="shared" si="31"/>
        <v>-5.8992810636482319E-14</v>
      </c>
    </row>
    <row r="65" spans="1:33" outlineLevel="1" x14ac:dyDescent="0.2">
      <c r="A65" s="34">
        <v>2020</v>
      </c>
      <c r="F65" s="35"/>
      <c r="J65" s="35">
        <f>I$31*$B$15*$B$9</f>
        <v>92.399999999999991</v>
      </c>
      <c r="K65" s="35">
        <f>$B$15*J56</f>
        <v>88.404094005199298</v>
      </c>
      <c r="L65" s="35">
        <f t="shared" si="30"/>
        <v>84.348249420476591</v>
      </c>
      <c r="M65" s="35">
        <f t="shared" si="30"/>
        <v>80.231567166983055</v>
      </c>
      <c r="N65" s="35">
        <f t="shared" si="30"/>
        <v>76.053134679687105</v>
      </c>
      <c r="O65" s="35">
        <f t="shared" si="30"/>
        <v>71.812025705081723</v>
      </c>
      <c r="P65" s="35">
        <f t="shared" si="30"/>
        <v>67.507300095857246</v>
      </c>
      <c r="Q65" s="35">
        <f t="shared" si="30"/>
        <v>63.138003602494422</v>
      </c>
      <c r="R65" s="35">
        <f t="shared" si="30"/>
        <v>58.70316766173115</v>
      </c>
      <c r="S65" s="35">
        <f t="shared" si="30"/>
        <v>54.201809181856433</v>
      </c>
      <c r="T65" s="35">
        <f t="shared" si="30"/>
        <v>49.632930324783601</v>
      </c>
      <c r="U65" s="35">
        <f t="shared" si="30"/>
        <v>44.995518284854668</v>
      </c>
      <c r="V65" s="35">
        <f t="shared" si="30"/>
        <v>40.288545064326804</v>
      </c>
      <c r="W65" s="35">
        <f t="shared" si="30"/>
        <v>35.510967245491024</v>
      </c>
      <c r="X65" s="35">
        <f t="shared" si="30"/>
        <v>30.6617257593727</v>
      </c>
      <c r="Y65" s="35">
        <f t="shared" si="30"/>
        <v>25.739745650962607</v>
      </c>
      <c r="Z65" s="35">
        <f t="shared" si="30"/>
        <v>20.743935840926358</v>
      </c>
      <c r="AA65" s="35">
        <f t="shared" si="31"/>
        <v>15.67318888373957</v>
      </c>
      <c r="AB65" s="35">
        <f t="shared" si="31"/>
        <v>10.526380722194979</v>
      </c>
      <c r="AC65" s="35">
        <f t="shared" si="31"/>
        <v>5.3023704382272179</v>
      </c>
      <c r="AD65" s="35">
        <f t="shared" si="31"/>
        <v>-5.8992810636482319E-14</v>
      </c>
    </row>
    <row r="66" spans="1:33" outlineLevel="1" x14ac:dyDescent="0.2">
      <c r="A66" s="34">
        <v>2021</v>
      </c>
      <c r="F66" s="35"/>
      <c r="K66" s="35">
        <f>$B$15*J$31</f>
        <v>92.399999999999991</v>
      </c>
      <c r="L66" s="35">
        <f>$B$15*K57</f>
        <v>88.404094005199298</v>
      </c>
      <c r="M66" s="35">
        <f t="shared" si="30"/>
        <v>84.348249420476591</v>
      </c>
      <c r="N66" s="35">
        <f t="shared" si="30"/>
        <v>80.231567166983055</v>
      </c>
      <c r="O66" s="35">
        <f t="shared" si="30"/>
        <v>76.053134679687105</v>
      </c>
      <c r="P66" s="35">
        <f t="shared" si="30"/>
        <v>71.812025705081723</v>
      </c>
      <c r="Q66" s="35">
        <f t="shared" si="30"/>
        <v>67.507300095857246</v>
      </c>
      <c r="R66" s="35">
        <f t="shared" si="30"/>
        <v>63.138003602494422</v>
      </c>
      <c r="S66" s="35">
        <f t="shared" si="30"/>
        <v>58.70316766173115</v>
      </c>
      <c r="T66" s="35">
        <f t="shared" si="30"/>
        <v>54.201809181856433</v>
      </c>
      <c r="U66" s="35">
        <f t="shared" si="30"/>
        <v>49.632930324783601</v>
      </c>
      <c r="V66" s="35">
        <f t="shared" si="30"/>
        <v>44.995518284854668</v>
      </c>
      <c r="W66" s="35">
        <f t="shared" si="30"/>
        <v>40.288545064326804</v>
      </c>
      <c r="X66" s="35">
        <f t="shared" si="30"/>
        <v>35.510967245491024</v>
      </c>
      <c r="Y66" s="35">
        <f t="shared" si="30"/>
        <v>30.6617257593727</v>
      </c>
      <c r="Z66" s="35">
        <f t="shared" si="30"/>
        <v>25.739745650962607</v>
      </c>
      <c r="AA66" s="35">
        <f t="shared" si="31"/>
        <v>20.743935840926358</v>
      </c>
      <c r="AB66" s="35">
        <f t="shared" si="31"/>
        <v>15.67318888373957</v>
      </c>
      <c r="AC66" s="35">
        <f t="shared" si="31"/>
        <v>10.526380722194979</v>
      </c>
      <c r="AD66" s="35">
        <f t="shared" si="31"/>
        <v>5.3023704382272179</v>
      </c>
      <c r="AE66" s="35">
        <f t="shared" si="31"/>
        <v>-5.8992810636482319E-14</v>
      </c>
      <c r="AF66" s="35"/>
    </row>
    <row r="67" spans="1:33" outlineLevel="1" x14ac:dyDescent="0.2">
      <c r="A67" s="34">
        <v>2022</v>
      </c>
      <c r="F67" s="35"/>
      <c r="L67" s="35">
        <f>$B$15*K$31</f>
        <v>92.399999999999991</v>
      </c>
      <c r="M67" s="35">
        <f>$B$15*L58</f>
        <v>88.404094005199298</v>
      </c>
      <c r="N67" s="35">
        <f t="shared" si="30"/>
        <v>84.348249420476591</v>
      </c>
      <c r="O67" s="35">
        <f t="shared" si="30"/>
        <v>80.231567166983055</v>
      </c>
      <c r="P67" s="35">
        <f t="shared" si="30"/>
        <v>76.053134679687105</v>
      </c>
      <c r="Q67" s="35">
        <f t="shared" si="30"/>
        <v>71.812025705081723</v>
      </c>
      <c r="R67" s="35">
        <f t="shared" si="30"/>
        <v>67.507300095857246</v>
      </c>
      <c r="S67" s="35">
        <f t="shared" si="30"/>
        <v>63.138003602494422</v>
      </c>
      <c r="T67" s="35">
        <f t="shared" si="30"/>
        <v>58.70316766173115</v>
      </c>
      <c r="U67" s="35">
        <f t="shared" si="30"/>
        <v>54.201809181856433</v>
      </c>
      <c r="V67" s="35">
        <f t="shared" si="30"/>
        <v>49.632930324783601</v>
      </c>
      <c r="W67" s="35">
        <f t="shared" si="30"/>
        <v>44.995518284854668</v>
      </c>
      <c r="X67" s="35">
        <f t="shared" si="30"/>
        <v>40.288545064326804</v>
      </c>
      <c r="Y67" s="35">
        <f t="shared" si="30"/>
        <v>35.510967245491024</v>
      </c>
      <c r="Z67" s="35">
        <f t="shared" si="30"/>
        <v>30.6617257593727</v>
      </c>
      <c r="AA67" s="35">
        <f t="shared" si="31"/>
        <v>25.739745650962607</v>
      </c>
      <c r="AB67" s="35">
        <f t="shared" si="31"/>
        <v>20.743935840926358</v>
      </c>
      <c r="AC67" s="35">
        <f t="shared" si="31"/>
        <v>15.67318888373957</v>
      </c>
      <c r="AD67" s="35">
        <f t="shared" si="31"/>
        <v>10.526380722194979</v>
      </c>
      <c r="AE67" s="35">
        <f t="shared" si="31"/>
        <v>5.3023704382272179</v>
      </c>
      <c r="AF67" s="35">
        <f t="shared" si="31"/>
        <v>-5.8992810636482319E-14</v>
      </c>
    </row>
    <row r="68" spans="1:33" outlineLevel="1" x14ac:dyDescent="0.2">
      <c r="A68" s="34">
        <v>2023</v>
      </c>
      <c r="F68" s="35"/>
      <c r="M68" s="35">
        <f>$B$15*L$31</f>
        <v>92.399999999999991</v>
      </c>
      <c r="N68" s="35">
        <f>$B$15*M59</f>
        <v>88.404094005199298</v>
      </c>
      <c r="O68" s="35">
        <f t="shared" si="30"/>
        <v>84.348249420476591</v>
      </c>
      <c r="P68" s="35">
        <f t="shared" si="30"/>
        <v>80.231567166983055</v>
      </c>
      <c r="Q68" s="35">
        <f t="shared" si="30"/>
        <v>76.053134679687105</v>
      </c>
      <c r="R68" s="35">
        <f t="shared" si="30"/>
        <v>71.812025705081723</v>
      </c>
      <c r="S68" s="35">
        <f t="shared" si="30"/>
        <v>67.507300095857246</v>
      </c>
      <c r="T68" s="35">
        <f t="shared" si="30"/>
        <v>63.138003602494422</v>
      </c>
      <c r="U68" s="35">
        <f t="shared" si="30"/>
        <v>58.70316766173115</v>
      </c>
      <c r="V68" s="35">
        <f t="shared" si="30"/>
        <v>54.201809181856433</v>
      </c>
      <c r="W68" s="35">
        <f t="shared" si="30"/>
        <v>49.632930324783601</v>
      </c>
      <c r="X68" s="35">
        <f t="shared" si="30"/>
        <v>44.995518284854668</v>
      </c>
      <c r="Y68" s="35">
        <f t="shared" si="30"/>
        <v>40.288545064326804</v>
      </c>
      <c r="Z68" s="35">
        <f t="shared" si="30"/>
        <v>35.510967245491024</v>
      </c>
      <c r="AA68" s="35">
        <f t="shared" si="31"/>
        <v>30.6617257593727</v>
      </c>
      <c r="AB68" s="35">
        <f t="shared" si="31"/>
        <v>25.739745650962607</v>
      </c>
      <c r="AC68" s="35">
        <f t="shared" si="31"/>
        <v>20.743935840926358</v>
      </c>
      <c r="AD68" s="35">
        <f t="shared" si="31"/>
        <v>15.67318888373957</v>
      </c>
      <c r="AE68" s="35">
        <f t="shared" si="31"/>
        <v>10.526380722194979</v>
      </c>
      <c r="AF68" s="35">
        <f t="shared" si="31"/>
        <v>5.3023704382272179</v>
      </c>
      <c r="AG68" s="35">
        <f t="shared" si="31"/>
        <v>-5.8992810636482319E-14</v>
      </c>
    </row>
    <row r="69" spans="1:33" x14ac:dyDescent="0.2">
      <c r="A69" s="34"/>
      <c r="F69" s="35"/>
    </row>
    <row r="70" spans="1:33" hidden="1" x14ac:dyDescent="0.2">
      <c r="A70" s="34" t="s">
        <v>33</v>
      </c>
      <c r="B70" s="39"/>
      <c r="F70" s="40">
        <f>F60*$B$16*$B$13/$B$15</f>
        <v>75.599999999999994</v>
      </c>
      <c r="G70" s="40">
        <f t="shared" ref="G70:AG70" si="32">G60*$B$16*$B$13/$B$15</f>
        <v>147.93062236789029</v>
      </c>
      <c r="H70" s="40">
        <f t="shared" si="32"/>
        <v>216.94282643918933</v>
      </c>
      <c r="I70" s="40">
        <f t="shared" si="32"/>
        <v>282.58683593944824</v>
      </c>
      <c r="J70" s="40">
        <f t="shared" si="32"/>
        <v>344.81212795010117</v>
      </c>
      <c r="K70" s="40">
        <f t="shared" si="32"/>
        <v>403.56742170880443</v>
      </c>
      <c r="L70" s="40">
        <f t="shared" si="32"/>
        <v>458.80066724177857</v>
      </c>
      <c r="M70" s="40">
        <f t="shared" si="32"/>
        <v>510.45903382563762</v>
      </c>
      <c r="N70" s="40">
        <f t="shared" si="32"/>
        <v>482.88889827614497</v>
      </c>
      <c r="O70" s="40">
        <f t="shared" si="32"/>
        <v>454.90521069340991</v>
      </c>
      <c r="P70" s="40">
        <f t="shared" si="32"/>
        <v>426.50176779693385</v>
      </c>
      <c r="Q70" s="40">
        <f t="shared" si="32"/>
        <v>397.67227325701066</v>
      </c>
      <c r="R70" s="40">
        <f t="shared" si="32"/>
        <v>368.41033629898857</v>
      </c>
      <c r="S70" s="40">
        <f t="shared" si="32"/>
        <v>338.70947028659617</v>
      </c>
      <c r="T70" s="40">
        <f t="shared" si="32"/>
        <v>308.5630912840179</v>
      </c>
      <c r="U70" s="40">
        <f t="shared" si="32"/>
        <v>277.96451659640093</v>
      </c>
      <c r="V70" s="40">
        <f t="shared" si="32"/>
        <v>246.90696328846985</v>
      </c>
      <c r="W70" s="40">
        <f t="shared" si="32"/>
        <v>215.38354668091964</v>
      </c>
      <c r="X70" s="40">
        <f t="shared" si="32"/>
        <v>183.38727882425621</v>
      </c>
      <c r="Y70" s="40">
        <f t="shared" si="32"/>
        <v>150.91106694974283</v>
      </c>
      <c r="Z70" s="40">
        <f t="shared" si="32"/>
        <v>117.94771189711177</v>
      </c>
      <c r="AA70" s="40">
        <f t="shared" si="32"/>
        <v>88.893284150800923</v>
      </c>
      <c r="AB70" s="40">
        <f t="shared" si="32"/>
        <v>63.806417620405092</v>
      </c>
      <c r="AC70" s="40">
        <f t="shared" si="32"/>
        <v>42.746625724162961</v>
      </c>
      <c r="AD70" s="40">
        <f t="shared" si="32"/>
        <v>25.774314581586847</v>
      </c>
      <c r="AE70" s="40">
        <f t="shared" si="32"/>
        <v>12.950796403981748</v>
      </c>
      <c r="AF70" s="40">
        <f t="shared" si="32"/>
        <v>4.3383030858222202</v>
      </c>
      <c r="AG70" s="40">
        <f t="shared" si="32"/>
        <v>-4.8266845066212799E-14</v>
      </c>
    </row>
    <row r="71" spans="1:33" hidden="1" x14ac:dyDescent="0.2">
      <c r="A71" s="34" t="s">
        <v>34</v>
      </c>
      <c r="B71" s="39"/>
      <c r="E71" s="38"/>
      <c r="F71" s="40">
        <f>F60-F70</f>
        <v>16.799999999999997</v>
      </c>
      <c r="G71" s="40">
        <f t="shared" ref="G71:AG71" si="33">G60-G70</f>
        <v>32.873471637308995</v>
      </c>
      <c r="H71" s="40">
        <f t="shared" si="33"/>
        <v>48.209516986486562</v>
      </c>
      <c r="I71" s="40">
        <f t="shared" si="33"/>
        <v>62.7970746532107</v>
      </c>
      <c r="J71" s="40">
        <f t="shared" si="33"/>
        <v>76.624917322244812</v>
      </c>
      <c r="K71" s="40">
        <f t="shared" si="33"/>
        <v>89.681649268623289</v>
      </c>
      <c r="L71" s="40">
        <f t="shared" si="33"/>
        <v>101.95570383150641</v>
      </c>
      <c r="M71" s="40">
        <f t="shared" si="33"/>
        <v>113.43534085014181</v>
      </c>
      <c r="N71" s="40">
        <f t="shared" si="33"/>
        <v>107.30864406136567</v>
      </c>
      <c r="O71" s="40">
        <f t="shared" si="33"/>
        <v>101.09004682075783</v>
      </c>
      <c r="P71" s="40">
        <f t="shared" si="33"/>
        <v>94.778170621540937</v>
      </c>
      <c r="Q71" s="40">
        <f t="shared" si="33"/>
        <v>88.37161627933574</v>
      </c>
      <c r="R71" s="40">
        <f t="shared" si="33"/>
        <v>81.868963621997523</v>
      </c>
      <c r="S71" s="40">
        <f t="shared" si="33"/>
        <v>75.268771174799213</v>
      </c>
      <c r="T71" s="40">
        <f t="shared" si="33"/>
        <v>68.569575840892867</v>
      </c>
      <c r="U71" s="40">
        <f t="shared" si="33"/>
        <v>61.769892576978066</v>
      </c>
      <c r="V71" s="40">
        <f t="shared" si="33"/>
        <v>54.868214064104393</v>
      </c>
      <c r="W71" s="40">
        <f t="shared" si="33"/>
        <v>47.863010373537719</v>
      </c>
      <c r="X71" s="40">
        <f t="shared" si="33"/>
        <v>40.752728627612498</v>
      </c>
      <c r="Y71" s="40">
        <f t="shared" si="33"/>
        <v>33.535792655498426</v>
      </c>
      <c r="Z71" s="40">
        <f t="shared" si="33"/>
        <v>26.21060264380263</v>
      </c>
      <c r="AA71" s="40">
        <f t="shared" si="33"/>
        <v>19.754063144622449</v>
      </c>
      <c r="AB71" s="40">
        <f t="shared" si="33"/>
        <v>14.17920391564558</v>
      </c>
      <c r="AC71" s="40">
        <f t="shared" si="33"/>
        <v>9.4992501609251079</v>
      </c>
      <c r="AD71" s="40">
        <f t="shared" si="33"/>
        <v>5.7276254625748599</v>
      </c>
      <c r="AE71" s="40">
        <f t="shared" si="33"/>
        <v>2.8779547564403902</v>
      </c>
      <c r="AF71" s="40">
        <f t="shared" si="33"/>
        <v>0.96406735240493902</v>
      </c>
      <c r="AG71" s="40">
        <f t="shared" si="33"/>
        <v>-1.072596557026952E-14</v>
      </c>
    </row>
    <row r="72" spans="1:33" s="40" customFormat="1" hidden="1" x14ac:dyDescent="0.2">
      <c r="A72" s="41" t="s">
        <v>55</v>
      </c>
      <c r="B72" s="42"/>
      <c r="F72" s="40">
        <f>F71</f>
        <v>16.799999999999997</v>
      </c>
      <c r="G72" s="40">
        <f>F72*(1+$B$15)+G71</f>
        <v>49.925471637308988</v>
      </c>
      <c r="H72" s="40">
        <f>G72*(1+$B$15)+H71</f>
        <v>98.883870698355182</v>
      </c>
      <c r="I72" s="40">
        <f t="shared" ref="I72:AB72" si="34">H72*(1+$B$15)+I71</f>
        <v>163.16420341204122</v>
      </c>
      <c r="J72" s="40">
        <f t="shared" si="34"/>
        <v>242.23658378546662</v>
      </c>
      <c r="K72" s="40">
        <f t="shared" si="34"/>
        <v>335.55178181087189</v>
      </c>
      <c r="L72" s="40">
        <f t="shared" si="34"/>
        <v>442.54076236954137</v>
      </c>
      <c r="M72" s="40">
        <f t="shared" si="34"/>
        <v>562.61421465522631</v>
      </c>
      <c r="N72" s="40">
        <f t="shared" si="34"/>
        <v>678.36207193642031</v>
      </c>
      <c r="O72" s="40">
        <f t="shared" si="34"/>
        <v>789.62754983622438</v>
      </c>
      <c r="P72" s="40">
        <f t="shared" si="34"/>
        <v>896.2501337053086</v>
      </c>
      <c r="Q72" s="40">
        <f t="shared" si="34"/>
        <v>998.06550199022388</v>
      </c>
      <c r="R72" s="40">
        <f t="shared" si="34"/>
        <v>1094.9054481420746</v>
      </c>
      <c r="S72" s="40">
        <f t="shared" si="34"/>
        <v>1186.5978010390049</v>
      </c>
      <c r="T72" s="40">
        <f t="shared" si="34"/>
        <v>1272.9663438954829</v>
      </c>
      <c r="U72" s="40">
        <f t="shared" si="34"/>
        <v>1353.8307316308931</v>
      </c>
      <c r="V72" s="40">
        <f t="shared" si="34"/>
        <v>1429.0064066694608</v>
      </c>
      <c r="W72" s="40">
        <f t="shared" si="34"/>
        <v>1498.3045131430404</v>
      </c>
      <c r="X72" s="40">
        <f t="shared" si="34"/>
        <v>1561.5318094677982</v>
      </c>
      <c r="Y72" s="40">
        <f t="shared" si="34"/>
        <v>1618.4905792653135</v>
      </c>
      <c r="Z72" s="40">
        <f t="shared" si="34"/>
        <v>1668.9785405980956</v>
      </c>
      <c r="AA72" s="40">
        <f t="shared" si="34"/>
        <v>1713.7672818516894</v>
      </c>
      <c r="AB72" s="40">
        <f t="shared" si="34"/>
        <v>1753.65299499511</v>
      </c>
    </row>
    <row r="73" spans="1:33" x14ac:dyDescent="0.2">
      <c r="A73" s="34" t="s">
        <v>106</v>
      </c>
      <c r="B73" s="35"/>
      <c r="J73" s="35">
        <f>$B$23*J51/((1+$B$25)^$B$24)</f>
        <v>11484.039342652026</v>
      </c>
      <c r="K73" s="35">
        <f>J73</f>
        <v>11484.039342652026</v>
      </c>
      <c r="L73" s="35">
        <f t="shared" ref="L73:S73" si="35">K73</f>
        <v>11484.039342652026</v>
      </c>
      <c r="M73" s="35">
        <f t="shared" si="35"/>
        <v>11484.039342652026</v>
      </c>
      <c r="N73" s="35">
        <f t="shared" si="35"/>
        <v>11484.039342652026</v>
      </c>
      <c r="O73" s="35">
        <f t="shared" si="35"/>
        <v>11484.039342652026</v>
      </c>
      <c r="P73" s="35">
        <f t="shared" si="35"/>
        <v>11484.039342652026</v>
      </c>
      <c r="Q73" s="35">
        <f t="shared" si="35"/>
        <v>11484.039342652026</v>
      </c>
      <c r="R73" s="35">
        <f t="shared" si="35"/>
        <v>11484.039342652026</v>
      </c>
      <c r="S73" s="35">
        <f t="shared" si="35"/>
        <v>11484.039342652026</v>
      </c>
    </row>
    <row r="74" spans="1:33" x14ac:dyDescent="0.2">
      <c r="S74" s="35"/>
    </row>
    <row r="75" spans="1:33" x14ac:dyDescent="0.2">
      <c r="A75" s="43" t="s">
        <v>48</v>
      </c>
      <c r="B75" s="44">
        <f>SUM(E31:G31)</f>
        <v>18480</v>
      </c>
      <c r="C75" s="45" t="s">
        <v>18</v>
      </c>
    </row>
    <row r="76" spans="1:33" x14ac:dyDescent="0.2">
      <c r="A76" s="43" t="s">
        <v>49</v>
      </c>
      <c r="B76" s="44">
        <f>SUM(E31:L31)/B5</f>
        <v>49280</v>
      </c>
      <c r="C76" s="45" t="s">
        <v>18</v>
      </c>
      <c r="I76" s="46"/>
    </row>
    <row r="77" spans="1:33" x14ac:dyDescent="0.2">
      <c r="A77" s="43" t="s">
        <v>71</v>
      </c>
      <c r="B77" s="44">
        <f>AB33</f>
        <v>14900.149967814979</v>
      </c>
      <c r="C77" s="45" t="s">
        <v>18</v>
      </c>
      <c r="E77" s="35"/>
    </row>
    <row r="78" spans="1:33" x14ac:dyDescent="0.2">
      <c r="A78" s="47" t="s">
        <v>14</v>
      </c>
      <c r="B78" s="86">
        <f>B76/B10</f>
        <v>2.9333333333333331</v>
      </c>
      <c r="C78" s="86"/>
      <c r="D78" s="14" t="s">
        <v>15</v>
      </c>
    </row>
    <row r="79" spans="1:33" x14ac:dyDescent="0.2">
      <c r="A79" s="47" t="s">
        <v>9</v>
      </c>
      <c r="B79" s="86">
        <f>B76/(SUM(E31:L31)*B17)</f>
        <v>1.833333333333333</v>
      </c>
      <c r="C79" s="86"/>
    </row>
    <row r="81" spans="1:32" x14ac:dyDescent="0.2">
      <c r="A81" s="15" t="s">
        <v>58</v>
      </c>
      <c r="B81" s="44">
        <f>SUM(E37:M38)</f>
        <v>940.80000000000018</v>
      </c>
      <c r="C81" s="44" t="s">
        <v>18</v>
      </c>
    </row>
    <row r="82" spans="1:32" x14ac:dyDescent="0.2">
      <c r="A82" s="15" t="s">
        <v>59</v>
      </c>
      <c r="B82" s="48">
        <v>0.08</v>
      </c>
      <c r="C82" s="44"/>
    </row>
    <row r="83" spans="1:32" x14ac:dyDescent="0.2">
      <c r="A83" s="15" t="s">
        <v>60</v>
      </c>
      <c r="B83" s="48">
        <f>B81/B11</f>
        <v>5.6000000000000008E-2</v>
      </c>
      <c r="C83" s="44"/>
    </row>
    <row r="84" spans="1:32" x14ac:dyDescent="0.2">
      <c r="A84" s="30"/>
    </row>
    <row r="85" spans="1:32" s="33" customFormat="1" x14ac:dyDescent="0.2">
      <c r="A85" s="14"/>
      <c r="E85" s="33">
        <v>2015</v>
      </c>
      <c r="F85" s="33">
        <f t="shared" ref="F85:AB85" si="36">F29</f>
        <v>2016</v>
      </c>
      <c r="G85" s="33">
        <f t="shared" si="36"/>
        <v>2017</v>
      </c>
      <c r="H85" s="33">
        <f t="shared" si="36"/>
        <v>2018</v>
      </c>
      <c r="I85" s="33">
        <f t="shared" si="36"/>
        <v>2019</v>
      </c>
      <c r="J85" s="33">
        <f t="shared" si="36"/>
        <v>2020</v>
      </c>
      <c r="K85" s="33">
        <f t="shared" si="36"/>
        <v>2021</v>
      </c>
      <c r="L85" s="33">
        <f t="shared" si="36"/>
        <v>2022</v>
      </c>
      <c r="M85" s="33">
        <f t="shared" si="36"/>
        <v>2023</v>
      </c>
      <c r="N85" s="33">
        <f t="shared" si="36"/>
        <v>2024</v>
      </c>
      <c r="O85" s="33">
        <f t="shared" si="36"/>
        <v>2025</v>
      </c>
      <c r="P85" s="33">
        <f t="shared" si="36"/>
        <v>2026</v>
      </c>
      <c r="Q85" s="33">
        <f t="shared" si="36"/>
        <v>2027</v>
      </c>
      <c r="R85" s="33">
        <f t="shared" si="36"/>
        <v>2028</v>
      </c>
      <c r="S85" s="33">
        <f t="shared" si="36"/>
        <v>2029</v>
      </c>
      <c r="T85" s="33">
        <f t="shared" si="36"/>
        <v>2030</v>
      </c>
      <c r="U85" s="33">
        <f t="shared" si="36"/>
        <v>2031</v>
      </c>
      <c r="V85" s="33">
        <f t="shared" si="36"/>
        <v>2032</v>
      </c>
      <c r="W85" s="33">
        <f t="shared" si="36"/>
        <v>2033</v>
      </c>
      <c r="X85" s="33">
        <f t="shared" si="36"/>
        <v>2034</v>
      </c>
      <c r="Y85" s="33">
        <f t="shared" si="36"/>
        <v>2035</v>
      </c>
      <c r="Z85" s="33">
        <f t="shared" si="36"/>
        <v>2036</v>
      </c>
      <c r="AA85" s="33">
        <f t="shared" si="36"/>
        <v>2037</v>
      </c>
      <c r="AB85" s="33">
        <f t="shared" si="36"/>
        <v>2038</v>
      </c>
    </row>
    <row r="86" spans="1:32" x14ac:dyDescent="0.2">
      <c r="A86" s="14" t="s">
        <v>10</v>
      </c>
      <c r="F86" s="35">
        <f t="shared" ref="F86:AB86" si="37">F30</f>
        <v>5893.6062670132869</v>
      </c>
      <c r="G86" s="35">
        <f t="shared" si="37"/>
        <v>11516.822895045061</v>
      </c>
      <c r="H86" s="35">
        <f t="shared" si="37"/>
        <v>16865.594039510597</v>
      </c>
      <c r="I86" s="35">
        <f t="shared" si="37"/>
        <v>21935.803018156403</v>
      </c>
      <c r="J86" s="35">
        <f t="shared" si="37"/>
        <v>26723.271398495184</v>
      </c>
      <c r="K86" s="35">
        <f t="shared" si="37"/>
        <v>31223.758071552336</v>
      </c>
      <c r="L86" s="35">
        <f t="shared" si="37"/>
        <v>35432.958311718627</v>
      </c>
      <c r="M86" s="35">
        <f t="shared" si="37"/>
        <v>39346.502822500712</v>
      </c>
      <c r="N86" s="35">
        <f t="shared" si="37"/>
        <v>37066.350500944522</v>
      </c>
      <c r="O86" s="35">
        <f t="shared" si="37"/>
        <v>34751.995894564985</v>
      </c>
      <c r="P86" s="35">
        <f t="shared" si="37"/>
        <v>32402.92596908976</v>
      </c>
      <c r="Q86" s="35">
        <f t="shared" si="37"/>
        <v>30018.619994732406</v>
      </c>
      <c r="R86" s="35">
        <f t="shared" si="37"/>
        <v>27598.549430759689</v>
      </c>
      <c r="S86" s="35">
        <f t="shared" si="37"/>
        <v>25142.177808327386</v>
      </c>
      <c r="T86" s="35">
        <f t="shared" si="37"/>
        <v>22648.960611558599</v>
      </c>
      <c r="U86" s="35">
        <f t="shared" si="37"/>
        <v>20118.345156838281</v>
      </c>
      <c r="V86" s="35">
        <f t="shared" si="37"/>
        <v>17549.770470297157</v>
      </c>
      <c r="W86" s="35">
        <f t="shared" si="37"/>
        <v>14942.667163457914</v>
      </c>
      <c r="X86" s="35">
        <f t="shared" si="37"/>
        <v>12296.457307016084</v>
      </c>
      <c r="Y86" s="35">
        <f t="shared" si="37"/>
        <v>9610.5543027276271</v>
      </c>
      <c r="Z86" s="35">
        <f t="shared" si="37"/>
        <v>7243.1564863615586</v>
      </c>
      <c r="AA86" s="35">
        <f t="shared" si="37"/>
        <v>5199.0414357367117</v>
      </c>
      <c r="AB86" s="35">
        <f t="shared" si="37"/>
        <v>3483.0583923392046</v>
      </c>
    </row>
    <row r="87" spans="1:32" x14ac:dyDescent="0.2">
      <c r="A87" s="14" t="s">
        <v>47</v>
      </c>
      <c r="E87" s="35">
        <f t="shared" ref="E87:AB87" si="38">E34</f>
        <v>24639.999999999996</v>
      </c>
      <c r="F87" s="35">
        <f t="shared" si="38"/>
        <v>18746.393732986711</v>
      </c>
      <c r="G87" s="35">
        <f t="shared" si="38"/>
        <v>13123.177104954935</v>
      </c>
      <c r="H87" s="35">
        <f t="shared" si="38"/>
        <v>7774.4059604893991</v>
      </c>
      <c r="I87" s="35">
        <f t="shared" si="38"/>
        <v>2704.1969818435937</v>
      </c>
      <c r="J87" s="35">
        <f t="shared" si="38"/>
        <v>9400.767944156838</v>
      </c>
      <c r="K87" s="35">
        <f t="shared" si="38"/>
        <v>4900.2812710996859</v>
      </c>
      <c r="L87" s="35">
        <f t="shared" si="38"/>
        <v>691.0810309333956</v>
      </c>
      <c r="M87" s="35">
        <f t="shared" si="38"/>
        <v>2937.5365201513105</v>
      </c>
      <c r="N87" s="35">
        <f t="shared" si="38"/>
        <v>5217.6888417075006</v>
      </c>
      <c r="O87" s="35">
        <f t="shared" si="38"/>
        <v>7532.0434480870372</v>
      </c>
      <c r="P87" s="35">
        <f t="shared" si="38"/>
        <v>9881.1133735622625</v>
      </c>
      <c r="Q87" s="35">
        <f t="shared" si="38"/>
        <v>12265.419347919616</v>
      </c>
      <c r="R87" s="35">
        <f t="shared" si="38"/>
        <v>14685.489911892333</v>
      </c>
      <c r="S87" s="35">
        <f t="shared" si="38"/>
        <v>17141.861534324635</v>
      </c>
      <c r="T87" s="35">
        <f t="shared" si="38"/>
        <v>8151.039388441397</v>
      </c>
      <c r="U87" s="35">
        <f t="shared" si="38"/>
        <v>10681.654843161716</v>
      </c>
      <c r="V87" s="35">
        <f t="shared" si="38"/>
        <v>13250.229529702839</v>
      </c>
      <c r="W87" s="35">
        <f t="shared" si="38"/>
        <v>15857.332836542082</v>
      </c>
      <c r="X87" s="35">
        <f t="shared" si="38"/>
        <v>18503.542692983912</v>
      </c>
      <c r="Y87" s="35">
        <f t="shared" si="38"/>
        <v>21189.445697272371</v>
      </c>
      <c r="Z87" s="35">
        <f t="shared" si="38"/>
        <v>23556.843513638436</v>
      </c>
      <c r="AA87" s="35">
        <f t="shared" si="38"/>
        <v>25600.958564263285</v>
      </c>
      <c r="AB87" s="35">
        <f t="shared" si="38"/>
        <v>27316.941607660792</v>
      </c>
    </row>
    <row r="88" spans="1:32" x14ac:dyDescent="0.2">
      <c r="A88" s="14" t="s">
        <v>11</v>
      </c>
      <c r="F88" s="35">
        <f t="shared" ref="F88:N88" si="39">E31/$B$5</f>
        <v>6160</v>
      </c>
      <c r="G88" s="35">
        <f t="shared" si="39"/>
        <v>6160</v>
      </c>
      <c r="H88" s="35">
        <f t="shared" si="39"/>
        <v>6160</v>
      </c>
      <c r="I88" s="35">
        <f t="shared" si="39"/>
        <v>6160</v>
      </c>
      <c r="J88" s="35">
        <f t="shared" si="39"/>
        <v>6160</v>
      </c>
      <c r="K88" s="35">
        <f t="shared" si="39"/>
        <v>6160</v>
      </c>
      <c r="L88" s="35">
        <f t="shared" si="39"/>
        <v>6160</v>
      </c>
      <c r="M88" s="35">
        <f t="shared" si="39"/>
        <v>6160</v>
      </c>
      <c r="N88" s="35">
        <f t="shared" si="39"/>
        <v>0</v>
      </c>
      <c r="O88" s="35">
        <f t="shared" ref="O88:AB88" si="40">N31*$B$78</f>
        <v>0</v>
      </c>
      <c r="P88" s="35">
        <f t="shared" si="40"/>
        <v>0</v>
      </c>
      <c r="Q88" s="35">
        <f t="shared" si="40"/>
        <v>0</v>
      </c>
      <c r="R88" s="35">
        <f t="shared" si="40"/>
        <v>0</v>
      </c>
      <c r="S88" s="35">
        <f t="shared" si="40"/>
        <v>0</v>
      </c>
      <c r="T88" s="35">
        <f t="shared" si="40"/>
        <v>0</v>
      </c>
      <c r="U88" s="35">
        <f t="shared" si="40"/>
        <v>0</v>
      </c>
      <c r="V88" s="35">
        <f t="shared" si="40"/>
        <v>0</v>
      </c>
      <c r="W88" s="35">
        <f t="shared" si="40"/>
        <v>0</v>
      </c>
      <c r="X88" s="35">
        <f t="shared" si="40"/>
        <v>0</v>
      </c>
      <c r="Y88" s="35">
        <f t="shared" si="40"/>
        <v>0</v>
      </c>
      <c r="Z88" s="35">
        <f t="shared" si="40"/>
        <v>0</v>
      </c>
      <c r="AA88" s="35">
        <f t="shared" si="40"/>
        <v>0</v>
      </c>
      <c r="AB88" s="35">
        <f t="shared" si="40"/>
        <v>0</v>
      </c>
    </row>
    <row r="89" spans="1:32" x14ac:dyDescent="0.2">
      <c r="A89" s="14" t="s">
        <v>12</v>
      </c>
      <c r="F89" s="35">
        <f>F88+E89</f>
        <v>6160</v>
      </c>
      <c r="G89" s="35">
        <f t="shared" ref="G89:AB89" si="41">G88+F89</f>
        <v>12320</v>
      </c>
      <c r="H89" s="35">
        <f t="shared" si="41"/>
        <v>18480</v>
      </c>
      <c r="I89" s="35">
        <f t="shared" si="41"/>
        <v>24640</v>
      </c>
      <c r="J89" s="35">
        <f t="shared" si="41"/>
        <v>30800</v>
      </c>
      <c r="K89" s="35">
        <f t="shared" si="41"/>
        <v>36960</v>
      </c>
      <c r="L89" s="35">
        <f t="shared" si="41"/>
        <v>43120</v>
      </c>
      <c r="M89" s="35">
        <f t="shared" si="41"/>
        <v>49280</v>
      </c>
      <c r="N89" s="35">
        <f t="shared" si="41"/>
        <v>49280</v>
      </c>
      <c r="O89" s="35">
        <f t="shared" si="41"/>
        <v>49280</v>
      </c>
      <c r="P89" s="35">
        <f t="shared" si="41"/>
        <v>49280</v>
      </c>
      <c r="Q89" s="35">
        <f t="shared" si="41"/>
        <v>49280</v>
      </c>
      <c r="R89" s="35">
        <f t="shared" si="41"/>
        <v>49280</v>
      </c>
      <c r="S89" s="35">
        <f t="shared" si="41"/>
        <v>49280</v>
      </c>
      <c r="T89" s="35">
        <f t="shared" si="41"/>
        <v>49280</v>
      </c>
      <c r="U89" s="35">
        <f t="shared" si="41"/>
        <v>49280</v>
      </c>
      <c r="V89" s="35">
        <f t="shared" si="41"/>
        <v>49280</v>
      </c>
      <c r="W89" s="35">
        <f t="shared" si="41"/>
        <v>49280</v>
      </c>
      <c r="X89" s="35">
        <f t="shared" si="41"/>
        <v>49280</v>
      </c>
      <c r="Y89" s="35">
        <f t="shared" si="41"/>
        <v>49280</v>
      </c>
      <c r="Z89" s="35">
        <f t="shared" si="41"/>
        <v>49280</v>
      </c>
      <c r="AA89" s="35">
        <f t="shared" si="41"/>
        <v>49280</v>
      </c>
      <c r="AB89" s="35">
        <f t="shared" si="41"/>
        <v>49280</v>
      </c>
    </row>
    <row r="92" spans="1:32" x14ac:dyDescent="0.2">
      <c r="A92" s="33" t="s">
        <v>75</v>
      </c>
      <c r="E92" s="33">
        <v>2015</v>
      </c>
      <c r="F92" s="33">
        <v>2016</v>
      </c>
      <c r="G92" s="33">
        <v>2017</v>
      </c>
      <c r="H92" s="33">
        <v>2018</v>
      </c>
      <c r="I92" s="33">
        <v>2019</v>
      </c>
      <c r="J92" s="33">
        <v>2020</v>
      </c>
      <c r="K92" s="33">
        <v>2021</v>
      </c>
      <c r="L92" s="33">
        <v>2022</v>
      </c>
      <c r="M92" s="33">
        <v>2023</v>
      </c>
      <c r="N92" s="33">
        <v>2024</v>
      </c>
      <c r="O92" s="33">
        <v>2025</v>
      </c>
      <c r="P92" s="33">
        <v>2026</v>
      </c>
      <c r="Q92" s="33">
        <v>2027</v>
      </c>
      <c r="R92" s="33">
        <v>2028</v>
      </c>
      <c r="S92" s="33">
        <v>2029</v>
      </c>
      <c r="T92" s="33">
        <v>2030</v>
      </c>
      <c r="U92" s="33">
        <v>2031</v>
      </c>
      <c r="V92" s="33">
        <v>2032</v>
      </c>
      <c r="W92" s="33">
        <v>2033</v>
      </c>
      <c r="X92" s="33">
        <v>2034</v>
      </c>
      <c r="Y92" s="33">
        <v>2035</v>
      </c>
      <c r="Z92" s="33">
        <v>2036</v>
      </c>
      <c r="AA92" s="33">
        <v>2037</v>
      </c>
      <c r="AB92" s="33">
        <v>2038</v>
      </c>
      <c r="AC92" s="33">
        <v>2039</v>
      </c>
      <c r="AD92" s="33">
        <v>2040</v>
      </c>
      <c r="AE92" s="33">
        <v>2041</v>
      </c>
      <c r="AF92" s="33">
        <v>2042</v>
      </c>
    </row>
    <row r="93" spans="1:32" x14ac:dyDescent="0.2">
      <c r="A93" s="14" t="s">
        <v>76</v>
      </c>
      <c r="E93" s="35">
        <f>$B$11</f>
        <v>16800</v>
      </c>
      <c r="F93" s="35">
        <f>MAX(E95,0)</f>
        <v>16800</v>
      </c>
      <c r="G93" s="35">
        <f t="shared" ref="G93:I93" si="42">MAX(F95,0)</f>
        <v>13440</v>
      </c>
      <c r="H93" s="35">
        <f t="shared" si="42"/>
        <v>10080</v>
      </c>
      <c r="I93" s="35">
        <f t="shared" si="42"/>
        <v>6720</v>
      </c>
      <c r="J93" s="35">
        <f>MAX(I95,0)</f>
        <v>3359.9999999999995</v>
      </c>
      <c r="K93" s="35">
        <f>MAX(J95,0)</f>
        <v>0</v>
      </c>
      <c r="L93" s="35">
        <f>MAX(K95,0)</f>
        <v>0</v>
      </c>
      <c r="M93" s="35">
        <f>MAX(L95,0)</f>
        <v>0</v>
      </c>
    </row>
    <row r="94" spans="1:32" x14ac:dyDescent="0.2">
      <c r="A94" s="14" t="s">
        <v>77</v>
      </c>
      <c r="E94" s="35"/>
      <c r="F94" s="35">
        <f>E31*(1-($B$9*$B$16))</f>
        <v>3360.0000000000005</v>
      </c>
      <c r="G94" s="35">
        <f t="shared" ref="G94:H94" si="43">F31*(1-($B$9*$B$16))</f>
        <v>3360.0000000000005</v>
      </c>
      <c r="H94" s="35">
        <f t="shared" si="43"/>
        <v>3360.0000000000005</v>
      </c>
      <c r="I94" s="35">
        <f>H31*(1-($B$9*$B$16))</f>
        <v>3360.0000000000005</v>
      </c>
      <c r="J94" s="35">
        <f>I31*(1-($B$9*$B$16))</f>
        <v>3360.0000000000005</v>
      </c>
      <c r="K94" s="35">
        <f>J31*(1-($B$9*$B$16))</f>
        <v>3360.0000000000005</v>
      </c>
      <c r="L94" s="35">
        <f t="shared" ref="L94:M94" si="44">K31*(1-($B$9*$B$16))</f>
        <v>3360.0000000000005</v>
      </c>
      <c r="M94" s="35">
        <f t="shared" si="44"/>
        <v>3360.0000000000005</v>
      </c>
    </row>
    <row r="95" spans="1:32" x14ac:dyDescent="0.2">
      <c r="A95" s="33" t="s">
        <v>78</v>
      </c>
      <c r="B95" s="33"/>
      <c r="C95" s="33"/>
      <c r="D95" s="33"/>
      <c r="E95" s="37">
        <f>MAX(E93-E94,0)</f>
        <v>16800</v>
      </c>
      <c r="F95" s="37">
        <f t="shared" ref="F95:AB95" si="45">MAX(F93-F94,0)</f>
        <v>13440</v>
      </c>
      <c r="G95" s="37">
        <f t="shared" si="45"/>
        <v>10080</v>
      </c>
      <c r="H95" s="37">
        <f t="shared" si="45"/>
        <v>6720</v>
      </c>
      <c r="I95" s="37">
        <f t="shared" si="45"/>
        <v>3359.9999999999995</v>
      </c>
      <c r="J95" s="37">
        <f t="shared" si="45"/>
        <v>0</v>
      </c>
      <c r="K95" s="37">
        <f t="shared" si="45"/>
        <v>0</v>
      </c>
      <c r="L95" s="37">
        <f t="shared" si="45"/>
        <v>0</v>
      </c>
      <c r="M95" s="37">
        <f t="shared" si="45"/>
        <v>0</v>
      </c>
      <c r="N95" s="37">
        <f t="shared" si="45"/>
        <v>0</v>
      </c>
      <c r="O95" s="37">
        <f t="shared" si="45"/>
        <v>0</v>
      </c>
      <c r="P95" s="37">
        <f t="shared" si="45"/>
        <v>0</v>
      </c>
      <c r="Q95" s="37">
        <f t="shared" si="45"/>
        <v>0</v>
      </c>
      <c r="R95" s="37">
        <f t="shared" si="45"/>
        <v>0</v>
      </c>
      <c r="S95" s="37">
        <f t="shared" si="45"/>
        <v>0</v>
      </c>
      <c r="T95" s="37">
        <f t="shared" si="45"/>
        <v>0</v>
      </c>
      <c r="U95" s="37">
        <f t="shared" si="45"/>
        <v>0</v>
      </c>
      <c r="V95" s="37">
        <f t="shared" si="45"/>
        <v>0</v>
      </c>
      <c r="W95" s="37">
        <f t="shared" si="45"/>
        <v>0</v>
      </c>
      <c r="X95" s="37">
        <f t="shared" si="45"/>
        <v>0</v>
      </c>
      <c r="Y95" s="37">
        <f t="shared" si="45"/>
        <v>0</v>
      </c>
      <c r="Z95" s="37">
        <f t="shared" si="45"/>
        <v>0</v>
      </c>
      <c r="AA95" s="37">
        <f t="shared" si="45"/>
        <v>0</v>
      </c>
      <c r="AB95" s="37">
        <f t="shared" si="45"/>
        <v>0</v>
      </c>
    </row>
    <row r="97" spans="1:35" x14ac:dyDescent="0.2">
      <c r="A97" s="14" t="s">
        <v>79</v>
      </c>
      <c r="F97" s="14">
        <f>E99</f>
        <v>0</v>
      </c>
      <c r="G97" s="50">
        <f t="shared" ref="G97:AI97" si="46">F99</f>
        <v>145.30567253820678</v>
      </c>
      <c r="H97" s="50">
        <f t="shared" si="46"/>
        <v>438.09660270269342</v>
      </c>
      <c r="I97" s="50">
        <f t="shared" si="46"/>
        <v>880.5850693578542</v>
      </c>
      <c r="J97" s="50">
        <f t="shared" si="46"/>
        <v>1475.0165355510489</v>
      </c>
      <c r="K97" s="50">
        <f t="shared" si="46"/>
        <v>8487.6916059037267</v>
      </c>
      <c r="L97" s="50">
        <f t="shared" si="46"/>
        <v>6032.8806933270971</v>
      </c>
      <c r="M97" s="50">
        <f t="shared" si="46"/>
        <v>3736.9532896000246</v>
      </c>
      <c r="N97" s="50">
        <f t="shared" si="46"/>
        <v>1602.2926473552529</v>
      </c>
      <c r="O97" s="50">
        <f t="shared" si="46"/>
        <v>2846.0120954768099</v>
      </c>
      <c r="P97" s="50">
        <f t="shared" si="46"/>
        <v>4108.3873353201907</v>
      </c>
      <c r="Q97" s="50">
        <f t="shared" si="46"/>
        <v>5389.6982037612215</v>
      </c>
      <c r="R97" s="50">
        <f t="shared" si="46"/>
        <v>6690.2287352288686</v>
      </c>
      <c r="S97" s="50">
        <f t="shared" si="46"/>
        <v>8010.2672246685306</v>
      </c>
      <c r="T97" s="50">
        <f t="shared" si="46"/>
        <v>9350.106291449787</v>
      </c>
      <c r="U97" s="50">
        <f t="shared" si="46"/>
        <v>4446.0214846043837</v>
      </c>
      <c r="V97" s="50">
        <f t="shared" si="46"/>
        <v>5826.3571871791037</v>
      </c>
      <c r="W97" s="50">
        <f t="shared" si="46"/>
        <v>7227.3979252924446</v>
      </c>
      <c r="X97" s="50">
        <f t="shared" si="46"/>
        <v>8649.4542744774844</v>
      </c>
      <c r="Y97" s="50">
        <f t="shared" si="46"/>
        <v>10092.8414689003</v>
      </c>
      <c r="Z97" s="50">
        <f t="shared" si="46"/>
        <v>11557.879471239459</v>
      </c>
      <c r="AA97" s="50">
        <f t="shared" si="46"/>
        <v>12849.187371075499</v>
      </c>
      <c r="AB97" s="50">
        <f t="shared" si="46"/>
        <v>13964.159216870872</v>
      </c>
      <c r="AC97" s="50">
        <f t="shared" si="46"/>
        <v>14900.149967814968</v>
      </c>
      <c r="AD97" s="50">
        <f t="shared" si="46"/>
        <v>15654.474907485021</v>
      </c>
      <c r="AE97" s="50">
        <f t="shared" si="46"/>
        <v>16224.409048711916</v>
      </c>
      <c r="AF97" s="50">
        <f t="shared" si="46"/>
        <v>16607.186529519007</v>
      </c>
      <c r="AG97" s="50">
        <f t="shared" si="46"/>
        <v>16800</v>
      </c>
      <c r="AH97" s="50">
        <f t="shared" si="46"/>
        <v>16800</v>
      </c>
      <c r="AI97" s="50">
        <f t="shared" si="46"/>
        <v>16800</v>
      </c>
    </row>
    <row r="98" spans="1:35" x14ac:dyDescent="0.2">
      <c r="A98" s="14" t="s">
        <v>80</v>
      </c>
      <c r="F98" s="35">
        <v>0</v>
      </c>
      <c r="K98" s="35">
        <f>MIN(MAX(-(K93-K94),0),K97)</f>
        <v>3360.0000000000005</v>
      </c>
      <c r="L98" s="35">
        <f>MIN(MAX(-(L93-L94),0),L97)</f>
        <v>3360.0000000000005</v>
      </c>
      <c r="M98" s="35">
        <f>MIN(MAX(-(M93-M94),0),M97)</f>
        <v>3360.0000000000005</v>
      </c>
      <c r="N98" s="35"/>
    </row>
    <row r="99" spans="1:35" x14ac:dyDescent="0.2">
      <c r="A99" s="14" t="s">
        <v>81</v>
      </c>
      <c r="F99" s="35">
        <f>F97-F98+(F42-F60)*$B$17</f>
        <v>145.30567253820678</v>
      </c>
      <c r="G99" s="35">
        <f>G97-G98+(G42-G60)*$B$17</f>
        <v>438.09660270269342</v>
      </c>
      <c r="H99" s="35">
        <f t="shared" ref="H99:AI99" si="47">H97-H98+(H42-H60)*$B$17</f>
        <v>880.5850693578542</v>
      </c>
      <c r="I99" s="35">
        <f t="shared" si="47"/>
        <v>1475.0165355510489</v>
      </c>
      <c r="J99" s="35">
        <f>J97-J98+(J42-J60)*$B$17+J73*B17</f>
        <v>8487.6916059037267</v>
      </c>
      <c r="K99" s="35">
        <f t="shared" si="47"/>
        <v>6032.8806933270971</v>
      </c>
      <c r="L99" s="35">
        <f t="shared" si="47"/>
        <v>3736.9532896000246</v>
      </c>
      <c r="M99" s="35">
        <f t="shared" si="47"/>
        <v>1602.2926473552529</v>
      </c>
      <c r="N99" s="35">
        <f t="shared" si="47"/>
        <v>2846.0120954768099</v>
      </c>
      <c r="O99" s="35">
        <f t="shared" si="47"/>
        <v>4108.3873353201907</v>
      </c>
      <c r="P99" s="35">
        <f t="shared" si="47"/>
        <v>5389.6982037612215</v>
      </c>
      <c r="Q99" s="35">
        <f t="shared" si="47"/>
        <v>6690.2287352288686</v>
      </c>
      <c r="R99" s="35">
        <f t="shared" si="47"/>
        <v>8010.2672246685306</v>
      </c>
      <c r="S99" s="35">
        <f t="shared" si="47"/>
        <v>9350.106291449787</v>
      </c>
      <c r="T99" s="35">
        <f>T97-T98+(T42-T60)*$B$17-S73*B17</f>
        <v>4446.0214846043837</v>
      </c>
      <c r="U99" s="35">
        <f t="shared" si="47"/>
        <v>5826.3571871791037</v>
      </c>
      <c r="V99" s="35">
        <f t="shared" si="47"/>
        <v>7227.3979252924446</v>
      </c>
      <c r="W99" s="35">
        <f t="shared" si="47"/>
        <v>8649.4542744774844</v>
      </c>
      <c r="X99" s="35">
        <f t="shared" si="47"/>
        <v>10092.8414689003</v>
      </c>
      <c r="Y99" s="35">
        <f t="shared" si="47"/>
        <v>11557.879471239459</v>
      </c>
      <c r="Z99" s="35">
        <f t="shared" si="47"/>
        <v>12849.187371075499</v>
      </c>
      <c r="AA99" s="35">
        <f t="shared" si="47"/>
        <v>13964.159216870872</v>
      </c>
      <c r="AB99" s="35">
        <f t="shared" si="47"/>
        <v>14900.149967814968</v>
      </c>
      <c r="AC99" s="35">
        <f t="shared" si="47"/>
        <v>15654.474907485021</v>
      </c>
      <c r="AD99" s="35">
        <f t="shared" si="47"/>
        <v>16224.409048711916</v>
      </c>
      <c r="AE99" s="35">
        <f t="shared" si="47"/>
        <v>16607.186529519007</v>
      </c>
      <c r="AF99" s="35">
        <f t="shared" si="47"/>
        <v>16800</v>
      </c>
      <c r="AG99" s="35">
        <f t="shared" si="47"/>
        <v>16800</v>
      </c>
      <c r="AH99" s="35">
        <f t="shared" si="47"/>
        <v>16800</v>
      </c>
      <c r="AI99" s="35">
        <f t="shared" si="47"/>
        <v>16800</v>
      </c>
    </row>
    <row r="101" spans="1:35" x14ac:dyDescent="0.2">
      <c r="E101" s="14">
        <f>E92</f>
        <v>2015</v>
      </c>
      <c r="F101" s="14">
        <f t="shared" ref="F101:AI101" si="48">F92</f>
        <v>2016</v>
      </c>
      <c r="G101" s="14">
        <f t="shared" si="48"/>
        <v>2017</v>
      </c>
      <c r="H101" s="14">
        <f t="shared" si="48"/>
        <v>2018</v>
      </c>
      <c r="I101" s="14">
        <f t="shared" si="48"/>
        <v>2019</v>
      </c>
      <c r="J101" s="14">
        <f t="shared" si="48"/>
        <v>2020</v>
      </c>
      <c r="K101" s="14">
        <f t="shared" si="48"/>
        <v>2021</v>
      </c>
      <c r="L101" s="14">
        <f t="shared" si="48"/>
        <v>2022</v>
      </c>
      <c r="M101" s="14">
        <f t="shared" si="48"/>
        <v>2023</v>
      </c>
      <c r="N101" s="14">
        <f t="shared" si="48"/>
        <v>2024</v>
      </c>
      <c r="O101" s="14">
        <f t="shared" si="48"/>
        <v>2025</v>
      </c>
      <c r="P101" s="14">
        <f t="shared" si="48"/>
        <v>2026</v>
      </c>
      <c r="Q101" s="14">
        <f t="shared" si="48"/>
        <v>2027</v>
      </c>
      <c r="R101" s="14">
        <f t="shared" si="48"/>
        <v>2028</v>
      </c>
      <c r="S101" s="14">
        <f t="shared" si="48"/>
        <v>2029</v>
      </c>
      <c r="T101" s="14">
        <f t="shared" si="48"/>
        <v>2030</v>
      </c>
      <c r="U101" s="14">
        <f t="shared" si="48"/>
        <v>2031</v>
      </c>
      <c r="V101" s="14">
        <f t="shared" si="48"/>
        <v>2032</v>
      </c>
      <c r="W101" s="14">
        <f t="shared" si="48"/>
        <v>2033</v>
      </c>
      <c r="X101" s="14">
        <f t="shared" si="48"/>
        <v>2034</v>
      </c>
      <c r="Y101" s="14">
        <f t="shared" si="48"/>
        <v>2035</v>
      </c>
      <c r="Z101" s="14">
        <f t="shared" si="48"/>
        <v>2036</v>
      </c>
      <c r="AA101" s="14">
        <f t="shared" si="48"/>
        <v>2037</v>
      </c>
      <c r="AB101" s="14">
        <f t="shared" si="48"/>
        <v>2038</v>
      </c>
      <c r="AC101" s="14">
        <f t="shared" si="48"/>
        <v>2039</v>
      </c>
      <c r="AD101" s="14">
        <f t="shared" si="48"/>
        <v>2040</v>
      </c>
      <c r="AE101" s="14">
        <f t="shared" si="48"/>
        <v>2041</v>
      </c>
      <c r="AF101" s="14">
        <f t="shared" si="48"/>
        <v>2042</v>
      </c>
      <c r="AG101" s="14">
        <f t="shared" si="48"/>
        <v>0</v>
      </c>
      <c r="AH101" s="14">
        <f t="shared" si="48"/>
        <v>0</v>
      </c>
      <c r="AI101" s="14">
        <f t="shared" si="48"/>
        <v>0</v>
      </c>
    </row>
    <row r="102" spans="1:35" x14ac:dyDescent="0.2">
      <c r="A102" s="14" t="str">
        <f>A93</f>
        <v>První cyklus IROP</v>
      </c>
      <c r="E102" s="35">
        <f>E95</f>
        <v>16800</v>
      </c>
      <c r="F102" s="35">
        <f t="shared" ref="F102:M102" si="49">F95</f>
        <v>13440</v>
      </c>
      <c r="G102" s="35">
        <f t="shared" si="49"/>
        <v>10080</v>
      </c>
      <c r="H102" s="35">
        <f t="shared" si="49"/>
        <v>6720</v>
      </c>
      <c r="I102" s="35">
        <f t="shared" si="49"/>
        <v>3359.9999999999995</v>
      </c>
      <c r="J102" s="35">
        <f t="shared" si="49"/>
        <v>0</v>
      </c>
      <c r="K102" s="35">
        <f t="shared" si="49"/>
        <v>0</v>
      </c>
      <c r="L102" s="35">
        <f t="shared" si="49"/>
        <v>0</v>
      </c>
      <c r="M102" s="35">
        <f t="shared" si="49"/>
        <v>0</v>
      </c>
    </row>
    <row r="103" spans="1:35" x14ac:dyDescent="0.2">
      <c r="A103" s="14" t="s">
        <v>82</v>
      </c>
      <c r="J103" s="35">
        <f>SUM(K94:M94)</f>
        <v>10080.000000000002</v>
      </c>
      <c r="K103" s="35">
        <f>SUM(L94:M94)</f>
        <v>6720.0000000000009</v>
      </c>
      <c r="L103" s="35">
        <f>M94</f>
        <v>3360.0000000000005</v>
      </c>
    </row>
    <row r="104" spans="1:35" x14ac:dyDescent="0.2">
      <c r="A104" s="14" t="s">
        <v>83</v>
      </c>
      <c r="E104" s="35">
        <f>E99</f>
        <v>0</v>
      </c>
      <c r="F104" s="35">
        <f t="shared" ref="F104:AI104" si="50">F99</f>
        <v>145.30567253820678</v>
      </c>
      <c r="G104" s="35">
        <f t="shared" si="50"/>
        <v>438.09660270269342</v>
      </c>
      <c r="H104" s="35">
        <f t="shared" si="50"/>
        <v>880.5850693578542</v>
      </c>
      <c r="I104" s="35">
        <f t="shared" si="50"/>
        <v>1475.0165355510489</v>
      </c>
      <c r="J104" s="35">
        <f t="shared" si="50"/>
        <v>8487.6916059037267</v>
      </c>
      <c r="K104" s="35">
        <f t="shared" si="50"/>
        <v>6032.8806933270971</v>
      </c>
      <c r="L104" s="35">
        <f t="shared" si="50"/>
        <v>3736.9532896000246</v>
      </c>
      <c r="M104" s="35">
        <f t="shared" si="50"/>
        <v>1602.2926473552529</v>
      </c>
      <c r="N104" s="35">
        <f t="shared" si="50"/>
        <v>2846.0120954768099</v>
      </c>
      <c r="O104" s="35">
        <f t="shared" si="50"/>
        <v>4108.3873353201907</v>
      </c>
      <c r="P104" s="35">
        <f t="shared" si="50"/>
        <v>5389.6982037612215</v>
      </c>
      <c r="Q104" s="35">
        <f t="shared" si="50"/>
        <v>6690.2287352288686</v>
      </c>
      <c r="R104" s="35">
        <f t="shared" si="50"/>
        <v>8010.2672246685306</v>
      </c>
      <c r="S104" s="35">
        <f t="shared" si="50"/>
        <v>9350.106291449787</v>
      </c>
      <c r="T104" s="35">
        <f t="shared" si="50"/>
        <v>4446.0214846043837</v>
      </c>
      <c r="U104" s="35">
        <f t="shared" si="50"/>
        <v>5826.3571871791037</v>
      </c>
      <c r="V104" s="35">
        <f t="shared" si="50"/>
        <v>7227.3979252924446</v>
      </c>
      <c r="W104" s="35">
        <f t="shared" si="50"/>
        <v>8649.4542744774844</v>
      </c>
      <c r="X104" s="35">
        <f t="shared" si="50"/>
        <v>10092.8414689003</v>
      </c>
      <c r="Y104" s="35">
        <f t="shared" si="50"/>
        <v>11557.879471239459</v>
      </c>
      <c r="Z104" s="35">
        <f t="shared" si="50"/>
        <v>12849.187371075499</v>
      </c>
      <c r="AA104" s="35">
        <f t="shared" si="50"/>
        <v>13964.159216870872</v>
      </c>
      <c r="AB104" s="35">
        <f t="shared" si="50"/>
        <v>14900.149967814968</v>
      </c>
      <c r="AC104" s="35">
        <f t="shared" si="50"/>
        <v>15654.474907485021</v>
      </c>
      <c r="AD104" s="35">
        <f t="shared" si="50"/>
        <v>16224.409048711916</v>
      </c>
      <c r="AE104" s="35">
        <f t="shared" si="50"/>
        <v>16607.186529519007</v>
      </c>
      <c r="AF104" s="35">
        <f t="shared" si="50"/>
        <v>16800</v>
      </c>
      <c r="AG104" s="35">
        <f t="shared" si="50"/>
        <v>16800</v>
      </c>
      <c r="AH104" s="35">
        <f t="shared" si="50"/>
        <v>16800</v>
      </c>
      <c r="AI104" s="35">
        <f t="shared" si="50"/>
        <v>16800</v>
      </c>
    </row>
    <row r="110" spans="1:35" ht="9.75" customHeight="1" x14ac:dyDescent="0.2"/>
    <row r="111" spans="1:35" hidden="1" x14ac:dyDescent="0.2"/>
    <row r="132" spans="29:29" x14ac:dyDescent="0.2">
      <c r="AC132" s="33"/>
    </row>
    <row r="133" spans="29:29" x14ac:dyDescent="0.2">
      <c r="AC133" s="33"/>
    </row>
  </sheetData>
  <sheetProtection password="D70F" sheet="1" objects="1" scenarios="1"/>
  <mergeCells count="5">
    <mergeCell ref="B28:D28"/>
    <mergeCell ref="E28:M28"/>
    <mergeCell ref="N28:AB28"/>
    <mergeCell ref="B78:C78"/>
    <mergeCell ref="B79:C7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AC64"/>
  <sheetViews>
    <sheetView workbookViewId="0"/>
  </sheetViews>
  <sheetFormatPr defaultRowHeight="14.25" x14ac:dyDescent="0.2"/>
  <cols>
    <col min="1" max="1" width="9.140625" style="55"/>
    <col min="2" max="2" width="29.140625" style="55" bestFit="1" customWidth="1"/>
    <col min="3" max="6" width="25.140625" style="55" customWidth="1"/>
    <col min="7" max="16384" width="9.140625" style="55"/>
  </cols>
  <sheetData>
    <row r="2" spans="2:29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2:29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2:29" x14ac:dyDescent="0.2">
      <c r="B4" s="33" t="s">
        <v>84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2:29" x14ac:dyDescent="0.2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2:29" x14ac:dyDescent="0.2">
      <c r="B6" s="14" t="s">
        <v>85</v>
      </c>
      <c r="C6" s="14">
        <v>4700000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2:29" x14ac:dyDescent="0.2">
      <c r="B7" s="14" t="s">
        <v>86</v>
      </c>
      <c r="C7" s="35">
        <v>408696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2:29" x14ac:dyDescent="0.2">
      <c r="B8" s="14" t="s">
        <v>87</v>
      </c>
      <c r="C8" s="49">
        <v>0.03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2:29" x14ac:dyDescent="0.2">
      <c r="B9" s="14" t="s">
        <v>88</v>
      </c>
      <c r="C9" s="51">
        <v>1.4999999999999999E-2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2:29" x14ac:dyDescent="0.2">
      <c r="B10" s="14" t="s">
        <v>89</v>
      </c>
      <c r="C10" s="14">
        <v>20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2:29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2:29" x14ac:dyDescent="0.2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2:29" x14ac:dyDescent="0.2">
      <c r="B13" s="33"/>
      <c r="C13" s="33">
        <v>1</v>
      </c>
      <c r="D13" s="33">
        <v>2</v>
      </c>
      <c r="E13" s="33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>
        <v>10</v>
      </c>
      <c r="M13" s="33">
        <v>11</v>
      </c>
      <c r="N13" s="33">
        <v>12</v>
      </c>
      <c r="O13" s="33">
        <v>13</v>
      </c>
      <c r="P13" s="33">
        <v>14</v>
      </c>
      <c r="Q13" s="33">
        <v>15</v>
      </c>
      <c r="R13" s="33">
        <v>16</v>
      </c>
      <c r="S13" s="33">
        <v>17</v>
      </c>
      <c r="T13" s="33">
        <v>18</v>
      </c>
      <c r="U13" s="33">
        <v>19</v>
      </c>
      <c r="V13" s="33">
        <v>20</v>
      </c>
      <c r="W13" s="33">
        <v>21</v>
      </c>
      <c r="X13" s="33">
        <v>22</v>
      </c>
      <c r="Y13" s="33">
        <v>23</v>
      </c>
      <c r="Z13" s="33">
        <v>24</v>
      </c>
      <c r="AA13" s="33">
        <v>25</v>
      </c>
      <c r="AB13" s="33">
        <v>26</v>
      </c>
      <c r="AC13" s="33">
        <v>27</v>
      </c>
    </row>
    <row r="14" spans="2:29" x14ac:dyDescent="0.2">
      <c r="B14" s="33" t="s">
        <v>103</v>
      </c>
      <c r="C14" s="33"/>
      <c r="D14" s="33">
        <f t="shared" ref="D14:R14" si="0">$C$7</f>
        <v>408696</v>
      </c>
      <c r="E14" s="33">
        <f t="shared" si="0"/>
        <v>408696</v>
      </c>
      <c r="F14" s="33">
        <f t="shared" si="0"/>
        <v>408696</v>
      </c>
      <c r="G14" s="33">
        <f t="shared" si="0"/>
        <v>408696</v>
      </c>
      <c r="H14" s="33">
        <f t="shared" si="0"/>
        <v>408696</v>
      </c>
      <c r="I14" s="33">
        <f t="shared" si="0"/>
        <v>408696</v>
      </c>
      <c r="J14" s="33">
        <f t="shared" si="0"/>
        <v>408696</v>
      </c>
      <c r="K14" s="33">
        <f t="shared" si="0"/>
        <v>408696</v>
      </c>
      <c r="L14" s="33">
        <f t="shared" si="0"/>
        <v>408696</v>
      </c>
      <c r="M14" s="33">
        <f t="shared" si="0"/>
        <v>408696</v>
      </c>
      <c r="N14" s="33">
        <f t="shared" si="0"/>
        <v>408696</v>
      </c>
      <c r="O14" s="33">
        <f t="shared" si="0"/>
        <v>408696</v>
      </c>
      <c r="P14" s="33">
        <f t="shared" si="0"/>
        <v>408696</v>
      </c>
      <c r="Q14" s="33">
        <f t="shared" si="0"/>
        <v>408696</v>
      </c>
      <c r="R14" s="33">
        <f t="shared" si="0"/>
        <v>408696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2:29" x14ac:dyDescent="0.2">
      <c r="B15" s="14" t="s">
        <v>104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2:29" x14ac:dyDescent="0.2">
      <c r="B16" s="52" t="s">
        <v>90</v>
      </c>
      <c r="C16" s="14">
        <f>-$C$6*(1-S20)</f>
        <v>-2350000</v>
      </c>
      <c r="D16" s="14">
        <f t="shared" ref="D16:R16" si="1">D14</f>
        <v>408696</v>
      </c>
      <c r="E16" s="14">
        <f t="shared" si="1"/>
        <v>408696</v>
      </c>
      <c r="F16" s="14">
        <f t="shared" si="1"/>
        <v>408696</v>
      </c>
      <c r="G16" s="14">
        <f t="shared" si="1"/>
        <v>408696</v>
      </c>
      <c r="H16" s="14">
        <f t="shared" si="1"/>
        <v>408696</v>
      </c>
      <c r="I16" s="14">
        <f t="shared" si="1"/>
        <v>408696</v>
      </c>
      <c r="J16" s="14">
        <f t="shared" si="1"/>
        <v>408696</v>
      </c>
      <c r="K16" s="14">
        <f t="shared" si="1"/>
        <v>408696</v>
      </c>
      <c r="L16" s="14">
        <f t="shared" si="1"/>
        <v>408696</v>
      </c>
      <c r="M16" s="14">
        <f t="shared" si="1"/>
        <v>408696</v>
      </c>
      <c r="N16" s="14">
        <f t="shared" si="1"/>
        <v>408696</v>
      </c>
      <c r="O16" s="14">
        <f t="shared" si="1"/>
        <v>408696</v>
      </c>
      <c r="P16" s="14">
        <f t="shared" si="1"/>
        <v>408696</v>
      </c>
      <c r="Q16" s="14">
        <f t="shared" si="1"/>
        <v>408696</v>
      </c>
      <c r="R16" s="14">
        <f t="shared" si="1"/>
        <v>408696</v>
      </c>
      <c r="S16" s="14">
        <f t="shared" ref="S16:Z19" si="2">R16</f>
        <v>408696</v>
      </c>
      <c r="T16" s="14">
        <f t="shared" si="2"/>
        <v>408696</v>
      </c>
      <c r="U16" s="14">
        <f t="shared" si="2"/>
        <v>408696</v>
      </c>
      <c r="V16" s="14">
        <f t="shared" si="2"/>
        <v>408696</v>
      </c>
      <c r="W16" s="14">
        <f t="shared" si="2"/>
        <v>408696</v>
      </c>
      <c r="X16" s="14">
        <f t="shared" si="2"/>
        <v>408696</v>
      </c>
      <c r="Y16" s="14">
        <f t="shared" si="2"/>
        <v>408696</v>
      </c>
      <c r="Z16" s="14">
        <f t="shared" si="2"/>
        <v>408696</v>
      </c>
      <c r="AA16" s="14"/>
      <c r="AB16" s="14"/>
      <c r="AC16" s="14"/>
    </row>
    <row r="17" spans="2:29" x14ac:dyDescent="0.2">
      <c r="B17" s="52" t="s">
        <v>91</v>
      </c>
      <c r="C17" s="14">
        <f>-$C$6*(1-0.2)</f>
        <v>-3760000</v>
      </c>
      <c r="D17" s="14">
        <f t="shared" ref="D17:R17" si="3">D14</f>
        <v>408696</v>
      </c>
      <c r="E17" s="14">
        <f t="shared" si="3"/>
        <v>408696</v>
      </c>
      <c r="F17" s="14">
        <f t="shared" si="3"/>
        <v>408696</v>
      </c>
      <c r="G17" s="14">
        <f t="shared" si="3"/>
        <v>408696</v>
      </c>
      <c r="H17" s="14">
        <f t="shared" si="3"/>
        <v>408696</v>
      </c>
      <c r="I17" s="14">
        <f t="shared" si="3"/>
        <v>408696</v>
      </c>
      <c r="J17" s="14">
        <f t="shared" si="3"/>
        <v>408696</v>
      </c>
      <c r="K17" s="14">
        <f t="shared" si="3"/>
        <v>408696</v>
      </c>
      <c r="L17" s="14">
        <f t="shared" si="3"/>
        <v>408696</v>
      </c>
      <c r="M17" s="14">
        <f t="shared" si="3"/>
        <v>408696</v>
      </c>
      <c r="N17" s="14">
        <f t="shared" si="3"/>
        <v>408696</v>
      </c>
      <c r="O17" s="14">
        <f t="shared" si="3"/>
        <v>408696</v>
      </c>
      <c r="P17" s="14">
        <f t="shared" si="3"/>
        <v>408696</v>
      </c>
      <c r="Q17" s="14">
        <f t="shared" si="3"/>
        <v>408696</v>
      </c>
      <c r="R17" s="14">
        <f t="shared" si="3"/>
        <v>408696</v>
      </c>
      <c r="S17" s="14">
        <f t="shared" si="2"/>
        <v>408696</v>
      </c>
      <c r="T17" s="14">
        <f t="shared" si="2"/>
        <v>408696</v>
      </c>
      <c r="U17" s="14">
        <f t="shared" si="2"/>
        <v>408696</v>
      </c>
      <c r="V17" s="14">
        <f t="shared" si="2"/>
        <v>408696</v>
      </c>
      <c r="W17" s="14">
        <f t="shared" si="2"/>
        <v>408696</v>
      </c>
      <c r="X17" s="14">
        <f t="shared" si="2"/>
        <v>408696</v>
      </c>
      <c r="Y17" s="14">
        <f t="shared" si="2"/>
        <v>408696</v>
      </c>
      <c r="Z17" s="14">
        <f t="shared" si="2"/>
        <v>408696</v>
      </c>
      <c r="AA17" s="33"/>
      <c r="AB17" s="33"/>
      <c r="AC17" s="33"/>
    </row>
    <row r="18" spans="2:29" x14ac:dyDescent="0.2">
      <c r="B18" s="52" t="s">
        <v>92</v>
      </c>
      <c r="C18" s="14">
        <f>-$C$6*(1-Y20)</f>
        <v>-4700000</v>
      </c>
      <c r="D18" s="14">
        <f t="shared" ref="D18:R18" si="4">D14</f>
        <v>408696</v>
      </c>
      <c r="E18" s="14">
        <f t="shared" si="4"/>
        <v>408696</v>
      </c>
      <c r="F18" s="14">
        <f t="shared" si="4"/>
        <v>408696</v>
      </c>
      <c r="G18" s="14">
        <f t="shared" si="4"/>
        <v>408696</v>
      </c>
      <c r="H18" s="14">
        <f t="shared" si="4"/>
        <v>408696</v>
      </c>
      <c r="I18" s="14">
        <f t="shared" si="4"/>
        <v>408696</v>
      </c>
      <c r="J18" s="14">
        <f t="shared" si="4"/>
        <v>408696</v>
      </c>
      <c r="K18" s="14">
        <f t="shared" si="4"/>
        <v>408696</v>
      </c>
      <c r="L18" s="14">
        <f t="shared" si="4"/>
        <v>408696</v>
      </c>
      <c r="M18" s="14">
        <f t="shared" si="4"/>
        <v>408696</v>
      </c>
      <c r="N18" s="14">
        <f t="shared" si="4"/>
        <v>408696</v>
      </c>
      <c r="O18" s="14">
        <f t="shared" si="4"/>
        <v>408696</v>
      </c>
      <c r="P18" s="14">
        <f t="shared" si="4"/>
        <v>408696</v>
      </c>
      <c r="Q18" s="14">
        <f t="shared" si="4"/>
        <v>408696</v>
      </c>
      <c r="R18" s="14">
        <f t="shared" si="4"/>
        <v>408696</v>
      </c>
      <c r="S18" s="14">
        <f t="shared" si="2"/>
        <v>408696</v>
      </c>
      <c r="T18" s="14">
        <f t="shared" si="2"/>
        <v>408696</v>
      </c>
      <c r="U18" s="14">
        <f t="shared" si="2"/>
        <v>408696</v>
      </c>
      <c r="V18" s="14">
        <f t="shared" si="2"/>
        <v>408696</v>
      </c>
      <c r="W18" s="14">
        <f t="shared" si="2"/>
        <v>408696</v>
      </c>
      <c r="X18" s="14">
        <f t="shared" si="2"/>
        <v>408696</v>
      </c>
      <c r="Y18" s="14">
        <f t="shared" si="2"/>
        <v>408696</v>
      </c>
      <c r="Z18" s="14">
        <f t="shared" si="2"/>
        <v>408696</v>
      </c>
      <c r="AA18" s="33"/>
      <c r="AB18" s="33"/>
      <c r="AC18" s="33"/>
    </row>
    <row r="19" spans="2:29" x14ac:dyDescent="0.2">
      <c r="B19" s="52" t="s">
        <v>93</v>
      </c>
      <c r="C19" s="14">
        <f>-$C$6*(1-0.4)</f>
        <v>-2820000</v>
      </c>
      <c r="D19" s="14">
        <f t="shared" ref="D19:R19" si="5">D14</f>
        <v>408696</v>
      </c>
      <c r="E19" s="14">
        <f t="shared" si="5"/>
        <v>408696</v>
      </c>
      <c r="F19" s="14">
        <f t="shared" si="5"/>
        <v>408696</v>
      </c>
      <c r="G19" s="14">
        <f t="shared" si="5"/>
        <v>408696</v>
      </c>
      <c r="H19" s="14">
        <f t="shared" si="5"/>
        <v>408696</v>
      </c>
      <c r="I19" s="14">
        <f t="shared" si="5"/>
        <v>408696</v>
      </c>
      <c r="J19" s="14">
        <f t="shared" si="5"/>
        <v>408696</v>
      </c>
      <c r="K19" s="14">
        <f t="shared" si="5"/>
        <v>408696</v>
      </c>
      <c r="L19" s="14">
        <f t="shared" si="5"/>
        <v>408696</v>
      </c>
      <c r="M19" s="14">
        <f t="shared" si="5"/>
        <v>408696</v>
      </c>
      <c r="N19" s="14">
        <f t="shared" si="5"/>
        <v>408696</v>
      </c>
      <c r="O19" s="14">
        <f t="shared" si="5"/>
        <v>408696</v>
      </c>
      <c r="P19" s="14">
        <f t="shared" si="5"/>
        <v>408696</v>
      </c>
      <c r="Q19" s="14">
        <f t="shared" si="5"/>
        <v>408696</v>
      </c>
      <c r="R19" s="14">
        <f t="shared" si="5"/>
        <v>408696</v>
      </c>
      <c r="S19" s="14">
        <f t="shared" si="2"/>
        <v>408696</v>
      </c>
      <c r="T19" s="14">
        <f t="shared" si="2"/>
        <v>408696</v>
      </c>
      <c r="U19" s="14">
        <f t="shared" si="2"/>
        <v>408696</v>
      </c>
      <c r="V19" s="14">
        <f t="shared" si="2"/>
        <v>408696</v>
      </c>
      <c r="W19" s="14">
        <f t="shared" si="2"/>
        <v>408696</v>
      </c>
      <c r="X19" s="14">
        <f t="shared" si="2"/>
        <v>408696</v>
      </c>
      <c r="Y19" s="14">
        <f t="shared" si="2"/>
        <v>408696</v>
      </c>
      <c r="Z19" s="14">
        <f t="shared" si="2"/>
        <v>408696</v>
      </c>
      <c r="AA19" s="14">
        <f>Z19</f>
        <v>408696</v>
      </c>
      <c r="AB19" s="14">
        <f>AA19</f>
        <v>408696</v>
      </c>
      <c r="AC19" s="14">
        <f>AB19</f>
        <v>408696</v>
      </c>
    </row>
    <row r="20" spans="2:29" x14ac:dyDescent="0.2">
      <c r="B20" s="5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0.5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2:29" x14ac:dyDescent="0.2">
      <c r="B21" s="63" t="s">
        <v>105</v>
      </c>
      <c r="C21" s="1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2:29" x14ac:dyDescent="0.2">
      <c r="B22" s="52" t="s">
        <v>95</v>
      </c>
      <c r="C22" s="35">
        <f t="shared" ref="C22:X22" si="6">C18/(1+$C$8)^C$13</f>
        <v>-4563106.7961165048</v>
      </c>
      <c r="D22" s="35">
        <f t="shared" si="6"/>
        <v>385235.17767932889</v>
      </c>
      <c r="E22" s="35">
        <f t="shared" si="6"/>
        <v>374014.73561099888</v>
      </c>
      <c r="F22" s="35">
        <f t="shared" si="6"/>
        <v>363121.10253495042</v>
      </c>
      <c r="G22" s="35">
        <f t="shared" si="6"/>
        <v>352544.75974267034</v>
      </c>
      <c r="H22" s="35">
        <f t="shared" si="6"/>
        <v>342276.46576958284</v>
      </c>
      <c r="I22" s="35">
        <f t="shared" si="6"/>
        <v>332307.24831998331</v>
      </c>
      <c r="J22" s="35">
        <f t="shared" si="6"/>
        <v>322628.39642716828</v>
      </c>
      <c r="K22" s="35">
        <f t="shared" si="6"/>
        <v>313231.45284191094</v>
      </c>
      <c r="L22" s="35">
        <f t="shared" si="6"/>
        <v>304108.20664263202</v>
      </c>
      <c r="M22" s="35">
        <f t="shared" si="6"/>
        <v>295250.68606080778</v>
      </c>
      <c r="N22" s="35">
        <f t="shared" si="6"/>
        <v>286651.15151534736</v>
      </c>
      <c r="O22" s="35">
        <f t="shared" si="6"/>
        <v>278302.08884985186</v>
      </c>
      <c r="P22" s="35">
        <f t="shared" si="6"/>
        <v>270196.2027668464</v>
      </c>
      <c r="Q22" s="35">
        <f t="shared" si="6"/>
        <v>262326.41045324894</v>
      </c>
      <c r="R22" s="35">
        <f t="shared" si="6"/>
        <v>254685.83539150388</v>
      </c>
      <c r="S22" s="35">
        <f t="shared" si="6"/>
        <v>247267.80135097462</v>
      </c>
      <c r="T22" s="35">
        <f t="shared" si="6"/>
        <v>240065.8265543443</v>
      </c>
      <c r="U22" s="35">
        <f t="shared" si="6"/>
        <v>233073.61801392649</v>
      </c>
      <c r="V22" s="35">
        <f t="shared" si="6"/>
        <v>226285.06603293837</v>
      </c>
      <c r="W22" s="35">
        <f t="shared" si="6"/>
        <v>219694.23886693048</v>
      </c>
      <c r="X22" s="35">
        <f t="shared" si="6"/>
        <v>213295.37754070919</v>
      </c>
      <c r="Y22" s="14"/>
      <c r="Z22" s="14"/>
      <c r="AA22" s="14"/>
      <c r="AB22" s="14"/>
      <c r="AC22" s="14"/>
    </row>
    <row r="23" spans="2:29" x14ac:dyDescent="0.2">
      <c r="B23" s="52" t="s">
        <v>96</v>
      </c>
      <c r="C23" s="35">
        <f t="shared" ref="C23:X23" si="7">C17/(1+$C$9)^C$13</f>
        <v>-3704433.4975369461</v>
      </c>
      <c r="D23" s="35">
        <f t="shared" si="7"/>
        <v>396705.57402509172</v>
      </c>
      <c r="E23" s="35">
        <f t="shared" si="7"/>
        <v>390842.93007398205</v>
      </c>
      <c r="F23" s="35">
        <f t="shared" si="7"/>
        <v>385066.92618126312</v>
      </c>
      <c r="G23" s="35">
        <f t="shared" si="7"/>
        <v>379376.28195198346</v>
      </c>
      <c r="H23" s="35">
        <f t="shared" si="7"/>
        <v>373769.73591328424</v>
      </c>
      <c r="I23" s="35">
        <f t="shared" si="7"/>
        <v>368246.04523476289</v>
      </c>
      <c r="J23" s="35">
        <f t="shared" si="7"/>
        <v>362803.98545296839</v>
      </c>
      <c r="K23" s="35">
        <f t="shared" si="7"/>
        <v>357442.3501999689</v>
      </c>
      <c r="L23" s="35">
        <f t="shared" si="7"/>
        <v>352159.95093592996</v>
      </c>
      <c r="M23" s="35">
        <f t="shared" si="7"/>
        <v>346955.61668564531</v>
      </c>
      <c r="N23" s="35">
        <f t="shared" si="7"/>
        <v>341828.19377896097</v>
      </c>
      <c r="O23" s="35">
        <f t="shared" si="7"/>
        <v>336776.54559503548</v>
      </c>
      <c r="P23" s="35">
        <f t="shared" si="7"/>
        <v>331799.55231037986</v>
      </c>
      <c r="Q23" s="35">
        <f t="shared" si="7"/>
        <v>326896.1106506206</v>
      </c>
      <c r="R23" s="35">
        <f t="shared" si="7"/>
        <v>322065.13364593167</v>
      </c>
      <c r="S23" s="35">
        <f t="shared" si="7"/>
        <v>317305.55039008049</v>
      </c>
      <c r="T23" s="35">
        <f t="shared" si="7"/>
        <v>312616.30580303498</v>
      </c>
      <c r="U23" s="35">
        <f t="shared" si="7"/>
        <v>307996.36039707885</v>
      </c>
      <c r="V23" s="35">
        <f t="shared" si="7"/>
        <v>303444.69004638318</v>
      </c>
      <c r="W23" s="35">
        <f t="shared" si="7"/>
        <v>298960.28575998347</v>
      </c>
      <c r="X23" s="35">
        <f t="shared" si="7"/>
        <v>294542.15345811186</v>
      </c>
      <c r="Y23" s="14"/>
      <c r="Z23" s="14"/>
      <c r="AA23" s="14"/>
      <c r="AB23" s="14"/>
      <c r="AC23" s="14"/>
    </row>
    <row r="24" spans="2:29" x14ac:dyDescent="0.2">
      <c r="B24" s="52" t="s">
        <v>97</v>
      </c>
      <c r="C24" s="35">
        <f t="shared" ref="C24:X24" si="8">C16/(1+$C$8)^C$13</f>
        <v>-2281553.3980582524</v>
      </c>
      <c r="D24" s="35">
        <f t="shared" si="8"/>
        <v>385235.17767932889</v>
      </c>
      <c r="E24" s="35">
        <f t="shared" si="8"/>
        <v>374014.73561099888</v>
      </c>
      <c r="F24" s="35">
        <f t="shared" si="8"/>
        <v>363121.10253495042</v>
      </c>
      <c r="G24" s="35">
        <f t="shared" si="8"/>
        <v>352544.75974267034</v>
      </c>
      <c r="H24" s="35">
        <f t="shared" si="8"/>
        <v>342276.46576958284</v>
      </c>
      <c r="I24" s="35">
        <f t="shared" si="8"/>
        <v>332307.24831998331</v>
      </c>
      <c r="J24" s="35">
        <f t="shared" si="8"/>
        <v>322628.39642716828</v>
      </c>
      <c r="K24" s="35">
        <f t="shared" si="8"/>
        <v>313231.45284191094</v>
      </c>
      <c r="L24" s="35">
        <f t="shared" si="8"/>
        <v>304108.20664263202</v>
      </c>
      <c r="M24" s="35">
        <f t="shared" si="8"/>
        <v>295250.68606080778</v>
      </c>
      <c r="N24" s="35">
        <f t="shared" si="8"/>
        <v>286651.15151534736</v>
      </c>
      <c r="O24" s="35">
        <f t="shared" si="8"/>
        <v>278302.08884985186</v>
      </c>
      <c r="P24" s="35">
        <f t="shared" si="8"/>
        <v>270196.2027668464</v>
      </c>
      <c r="Q24" s="35">
        <f t="shared" si="8"/>
        <v>262326.41045324894</v>
      </c>
      <c r="R24" s="35">
        <f t="shared" si="8"/>
        <v>254685.83539150388</v>
      </c>
      <c r="S24" s="35">
        <f t="shared" si="8"/>
        <v>247267.80135097462</v>
      </c>
      <c r="T24" s="35">
        <f t="shared" si="8"/>
        <v>240065.8265543443</v>
      </c>
      <c r="U24" s="35">
        <f t="shared" si="8"/>
        <v>233073.61801392649</v>
      </c>
      <c r="V24" s="35">
        <f t="shared" si="8"/>
        <v>226285.06603293837</v>
      </c>
      <c r="W24" s="35">
        <f t="shared" si="8"/>
        <v>219694.23886693048</v>
      </c>
      <c r="X24" s="35">
        <f t="shared" si="8"/>
        <v>213295.37754070919</v>
      </c>
      <c r="Y24" s="14"/>
      <c r="Z24" s="14"/>
      <c r="AA24" s="14"/>
      <c r="AB24" s="14"/>
      <c r="AC24" s="14"/>
    </row>
    <row r="25" spans="2:29" x14ac:dyDescent="0.2">
      <c r="B25" s="52" t="s">
        <v>98</v>
      </c>
      <c r="C25" s="35">
        <f t="shared" ref="C25:X25" si="9">C18/(1+$C$9)^C$13</f>
        <v>-4630541.8719211826</v>
      </c>
      <c r="D25" s="35">
        <f t="shared" si="9"/>
        <v>396705.57402509172</v>
      </c>
      <c r="E25" s="35">
        <f t="shared" si="9"/>
        <v>390842.93007398205</v>
      </c>
      <c r="F25" s="35">
        <f t="shared" si="9"/>
        <v>385066.92618126312</v>
      </c>
      <c r="G25" s="35">
        <f t="shared" si="9"/>
        <v>379376.28195198346</v>
      </c>
      <c r="H25" s="35">
        <f t="shared" si="9"/>
        <v>373769.73591328424</v>
      </c>
      <c r="I25" s="35">
        <f t="shared" si="9"/>
        <v>368246.04523476289</v>
      </c>
      <c r="J25" s="35">
        <f t="shared" si="9"/>
        <v>362803.98545296839</v>
      </c>
      <c r="K25" s="35">
        <f t="shared" si="9"/>
        <v>357442.3501999689</v>
      </c>
      <c r="L25" s="35">
        <f t="shared" si="9"/>
        <v>352159.95093592996</v>
      </c>
      <c r="M25" s="35">
        <f t="shared" si="9"/>
        <v>346955.61668564531</v>
      </c>
      <c r="N25" s="35">
        <f t="shared" si="9"/>
        <v>341828.19377896097</v>
      </c>
      <c r="O25" s="35">
        <f t="shared" si="9"/>
        <v>336776.54559503548</v>
      </c>
      <c r="P25" s="35">
        <f t="shared" si="9"/>
        <v>331799.55231037986</v>
      </c>
      <c r="Q25" s="35">
        <f t="shared" si="9"/>
        <v>326896.1106506206</v>
      </c>
      <c r="R25" s="35">
        <f t="shared" si="9"/>
        <v>322065.13364593167</v>
      </c>
      <c r="S25" s="35">
        <f t="shared" si="9"/>
        <v>317305.55039008049</v>
      </c>
      <c r="T25" s="35">
        <f t="shared" si="9"/>
        <v>312616.30580303498</v>
      </c>
      <c r="U25" s="35">
        <f t="shared" si="9"/>
        <v>307996.36039707885</v>
      </c>
      <c r="V25" s="35">
        <f t="shared" si="9"/>
        <v>303444.69004638318</v>
      </c>
      <c r="W25" s="35">
        <f t="shared" si="9"/>
        <v>298960.28575998347</v>
      </c>
      <c r="X25" s="35">
        <f t="shared" si="9"/>
        <v>294542.15345811186</v>
      </c>
      <c r="Y25" s="14"/>
      <c r="Z25" s="14"/>
      <c r="AA25" s="14"/>
      <c r="AB25" s="14"/>
      <c r="AC25" s="14"/>
    </row>
    <row r="26" spans="2:29" x14ac:dyDescent="0.2">
      <c r="B26" s="52" t="s">
        <v>99</v>
      </c>
      <c r="C26" s="35">
        <f t="shared" ref="C26:X26" si="10">C19/(1+$C$9)^C$13</f>
        <v>-2778325.1231527096</v>
      </c>
      <c r="D26" s="35">
        <f t="shared" si="10"/>
        <v>396705.57402509172</v>
      </c>
      <c r="E26" s="35">
        <f t="shared" si="10"/>
        <v>390842.93007398205</v>
      </c>
      <c r="F26" s="35">
        <f t="shared" si="10"/>
        <v>385066.92618126312</v>
      </c>
      <c r="G26" s="35">
        <f t="shared" si="10"/>
        <v>379376.28195198346</v>
      </c>
      <c r="H26" s="35">
        <f t="shared" si="10"/>
        <v>373769.73591328424</v>
      </c>
      <c r="I26" s="35">
        <f t="shared" si="10"/>
        <v>368246.04523476289</v>
      </c>
      <c r="J26" s="35">
        <f t="shared" si="10"/>
        <v>362803.98545296839</v>
      </c>
      <c r="K26" s="35">
        <f t="shared" si="10"/>
        <v>357442.3501999689</v>
      </c>
      <c r="L26" s="35">
        <f t="shared" si="10"/>
        <v>352159.95093592996</v>
      </c>
      <c r="M26" s="35">
        <f t="shared" si="10"/>
        <v>346955.61668564531</v>
      </c>
      <c r="N26" s="35">
        <f t="shared" si="10"/>
        <v>341828.19377896097</v>
      </c>
      <c r="O26" s="35">
        <f t="shared" si="10"/>
        <v>336776.54559503548</v>
      </c>
      <c r="P26" s="35">
        <f t="shared" si="10"/>
        <v>331799.55231037986</v>
      </c>
      <c r="Q26" s="35">
        <f t="shared" si="10"/>
        <v>326896.1106506206</v>
      </c>
      <c r="R26" s="35">
        <f t="shared" si="10"/>
        <v>322065.13364593167</v>
      </c>
      <c r="S26" s="35">
        <f t="shared" si="10"/>
        <v>317305.55039008049</v>
      </c>
      <c r="T26" s="35">
        <f t="shared" si="10"/>
        <v>312616.30580303498</v>
      </c>
      <c r="U26" s="35">
        <f t="shared" si="10"/>
        <v>307996.36039707885</v>
      </c>
      <c r="V26" s="35">
        <f t="shared" si="10"/>
        <v>303444.69004638318</v>
      </c>
      <c r="W26" s="35">
        <f t="shared" si="10"/>
        <v>298960.28575998347</v>
      </c>
      <c r="X26" s="35">
        <f t="shared" si="10"/>
        <v>294542.15345811186</v>
      </c>
      <c r="Y26" s="35">
        <f>Y19/(1+$C$8)^Y$13</f>
        <v>207082.8908162225</v>
      </c>
      <c r="Z26" s="35">
        <f>Z19/(1+$C$8)^Z$13</f>
        <v>201051.35030701215</v>
      </c>
      <c r="AA26" s="35">
        <f>AA19/(1+$C$8)^AA$13</f>
        <v>195195.48573496327</v>
      </c>
      <c r="AB26" s="35">
        <f>AB19/(1+$C$8)^AB$13</f>
        <v>189510.18032520701</v>
      </c>
      <c r="AC26" s="14"/>
    </row>
    <row r="27" spans="2:29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2:29" x14ac:dyDescent="0.2">
      <c r="B28" s="88" t="s">
        <v>114</v>
      </c>
      <c r="C28" s="89"/>
      <c r="D28" s="56" t="s">
        <v>85</v>
      </c>
      <c r="E28" s="53"/>
      <c r="F28" s="57">
        <f>C6</f>
        <v>4700000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2:29" x14ac:dyDescent="0.2">
      <c r="B29" s="90"/>
      <c r="C29" s="91"/>
      <c r="D29" s="58" t="s">
        <v>86</v>
      </c>
      <c r="E29" s="54"/>
      <c r="F29" s="59">
        <f>C7</f>
        <v>408696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2:29" ht="29.25" customHeight="1" x14ac:dyDescent="0.2">
      <c r="B30" s="60"/>
      <c r="C30" s="67" t="s">
        <v>94</v>
      </c>
      <c r="D30" s="68" t="s">
        <v>112</v>
      </c>
      <c r="E30" s="69" t="s">
        <v>113</v>
      </c>
      <c r="F30" s="67" t="s">
        <v>100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2:29" x14ac:dyDescent="0.2">
      <c r="B31" s="61" t="s">
        <v>115</v>
      </c>
      <c r="C31" s="70">
        <f>IRR(C18:W18)</f>
        <v>5.9677720502119502E-2</v>
      </c>
      <c r="D31" s="70">
        <f>IRR(C16:W16)</f>
        <v>0.1658290248754688</v>
      </c>
      <c r="E31" s="70">
        <f>IRR(C19:W19)</f>
        <v>0.13300007493184163</v>
      </c>
      <c r="F31" s="70">
        <f>IRR(C18:W18)</f>
        <v>5.9677720502119502E-2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2:29" x14ac:dyDescent="0.2">
      <c r="B32" s="61" t="s">
        <v>116</v>
      </c>
      <c r="C32" s="71">
        <f>NPV(C8,$C$18:$W$18)</f>
        <v>1340159.6753094385</v>
      </c>
      <c r="D32" s="72">
        <f>NPV(C8,C16:W16)</f>
        <v>3621713.0733676921</v>
      </c>
      <c r="E32" s="72">
        <f>NPV(C9,C19:W19)</f>
        <v>4134733.001879659</v>
      </c>
      <c r="F32" s="71">
        <f>NPV(C9,$C$18:$W$18)</f>
        <v>2282516.253111186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2:29" x14ac:dyDescent="0.2">
      <c r="B33" s="61" t="s">
        <v>101</v>
      </c>
      <c r="C33" s="73">
        <f>-C18/D18</f>
        <v>11.499990212774287</v>
      </c>
      <c r="D33" s="73">
        <f>-C16/D16</f>
        <v>5.7499951063871437</v>
      </c>
      <c r="E33" s="73">
        <f>-C19/D19</f>
        <v>6.8999941276645718</v>
      </c>
      <c r="F33" s="73">
        <f>C33</f>
        <v>11.499990212774287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2:29" x14ac:dyDescent="0.2">
      <c r="B34" s="62" t="s">
        <v>102</v>
      </c>
      <c r="C34" s="74">
        <f>14+80913/R22</f>
        <v>14.317697291157241</v>
      </c>
      <c r="D34" s="75">
        <f>6+132054/J24</f>
        <v>6.4093068107531277</v>
      </c>
      <c r="E34" s="75">
        <f>7+121514/K26</f>
        <v>7.3399541210827977</v>
      </c>
      <c r="F34" s="76">
        <f>12+238568/P25</f>
        <v>12.719012422828206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2:29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2:29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2:29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2:29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2:29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2:29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2:29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2:29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2:29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2:29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2:29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2:29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2:29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2:29" x14ac:dyDescent="0.2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2:29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2:29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2:29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2:29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2:29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2:29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2:29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2:29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2:29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2:29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2:29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2:29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2:29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2:29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2:29" x14ac:dyDescent="0.2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2:29" x14ac:dyDescent="0.2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</sheetData>
  <mergeCells count="1">
    <mergeCell ref="B28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Obálka</vt:lpstr>
      <vt:lpstr>Model multiplikace</vt:lpstr>
      <vt:lpstr>Sekuritizace</vt:lpstr>
      <vt:lpstr>Modelový příklad</vt:lpstr>
      <vt:lpstr>Obálka!Oblast_tisku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Pekar</dc:creator>
  <cp:lastModifiedBy>Helena Zeisel</cp:lastModifiedBy>
  <dcterms:created xsi:type="dcterms:W3CDTF">2015-02-04T14:28:52Z</dcterms:created>
  <dcterms:modified xsi:type="dcterms:W3CDTF">2015-06-12T11:20:13Z</dcterms:modified>
</cp:coreProperties>
</file>